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codeName="ThisWorkbook"/>
  <bookViews>
    <workbookView xWindow="65491" yWindow="90" windowWidth="12120" windowHeight="9120" tabRatio="692" activeTab="0"/>
  </bookViews>
  <sheets>
    <sheet name="Istruzioni" sheetId="1" r:id="rId1"/>
    <sheet name="Prontuario" sheetId="2" r:id="rId2"/>
    <sheet name="Valori" sheetId="3" r:id="rId3"/>
    <sheet name="Formazione Prezzo" sheetId="4" r:id="rId4"/>
    <sheet name="Punto di Pareggio" sheetId="5" r:id="rId5"/>
    <sheet name="Studio di Settore" sheetId="6" r:id="rId6"/>
    <sheet name="Statistiche" sheetId="7" r:id="rId7"/>
  </sheets>
  <definedNames>
    <definedName name="_xlnm.Print_Area" localSheetId="1">'Prontuario'!$AB$500:$AE$693</definedName>
    <definedName name="Costi_Fissi">'Valori'!$B$3</definedName>
    <definedName name="Costi_Totali">'Valori'!$B$2</definedName>
    <definedName name="Costi_Variabili">'Valori'!$B$4</definedName>
    <definedName name="CostoMinuto">'Valori'!$B$6</definedName>
    <definedName name="CostoUnitMatPrima">'Prontuario'!$L:$L</definedName>
    <definedName name="Incrementi_del_reddito">'Punto di Pareggio'!$D$6</definedName>
    <definedName name="Margine_di_contribuzione">'Punto di Pareggio'!$D$5</definedName>
    <definedName name="Min_Lavoro_Anno">'Valori'!$B$5</definedName>
    <definedName name="MinutiLavoro">'Prontuario'!$A:$A</definedName>
    <definedName name="Qtà">'Prontuario'!$N:$N</definedName>
    <definedName name="Reddito">'Punto di Pareggio'!$B$11</definedName>
    <definedName name="Sp_fisse">'Punto di Pareggio'!$C$11</definedName>
    <definedName name="Spese_fisse">'Punto di Pareggio'!$D$4</definedName>
    <definedName name="Spese_totali">'Punto di Pareggio'!$E$11</definedName>
    <definedName name="Spese_variabili">'Punto di Pareggio'!$D$11</definedName>
    <definedName name="Tab_reddito">'Punto di Pareggio'!$B$16:$B$36</definedName>
    <definedName name="Tab_spese_fisse">'Punto di Pareggio'!$C$16:$C$36</definedName>
    <definedName name="Tab_spese_variabili">'Punto di Pareggio'!$D$16:$D$36</definedName>
    <definedName name="Tab_totale">'Punto di Pareggio'!$E$16:$E$36</definedName>
  </definedNames>
  <calcPr fullCalcOnLoad="1"/>
</workbook>
</file>

<file path=xl/sharedStrings.xml><?xml version="1.0" encoding="utf-8"?>
<sst xmlns="http://schemas.openxmlformats.org/spreadsheetml/2006/main" count="1504" uniqueCount="238">
  <si>
    <t>9 Fototessere Immediate Digitali</t>
  </si>
  <si>
    <t>4 fototessere ritoccate colore 4x6</t>
  </si>
  <si>
    <t>4 fototessere ritoccate colore 6x9</t>
  </si>
  <si>
    <t>4 fototessere ritoccate b&amp;n 6x9</t>
  </si>
  <si>
    <t>6 fototessere ritoccate colore 4x6</t>
  </si>
  <si>
    <t>6 fototessere ritoccate colore 6x9</t>
  </si>
  <si>
    <t>6 fototessere ritoccate b&amp;n 6x9</t>
  </si>
  <si>
    <t xml:space="preserve">4 Ristampe fototessere Polaroid </t>
  </si>
  <si>
    <t>3 Ristampe fototessere colore 4x6</t>
  </si>
  <si>
    <t>3 Ristampe fototessere b&amp;n 6x9</t>
  </si>
  <si>
    <t>Ritratti (Ripresa)</t>
  </si>
  <si>
    <t>Riproduzione in diapositiva 9x12-4"x5"</t>
  </si>
  <si>
    <t>Riproduzione in diapositiva 13x18</t>
  </si>
  <si>
    <t>Riproduzione in diapositiva 20x25</t>
  </si>
  <si>
    <t>Stampe da Riproduzione</t>
  </si>
  <si>
    <t>St. da riprod. b&amp;n fino al 13x18</t>
  </si>
  <si>
    <t xml:space="preserve">             Realizzazione ed implementazione progetto: Sandro D'Antonio © 1996-2002 UAPI Udine </t>
  </si>
  <si>
    <t>Duplicato neg.col. 20x25</t>
  </si>
  <si>
    <t>Duplicato diapositiva 135</t>
  </si>
  <si>
    <t>Duplicato diapositiva120</t>
  </si>
  <si>
    <t>Duplicato diapositiva 6x9</t>
  </si>
  <si>
    <t>Duplicato diapositiva 9x12 e 4"x5"</t>
  </si>
  <si>
    <t>Duplicato diapositiva 13x18</t>
  </si>
  <si>
    <t>Duplicato diapositiva 20x25</t>
  </si>
  <si>
    <t>Prontuario per Fotografi - Confartigianato</t>
  </si>
  <si>
    <t>Copia concessa in uso a:</t>
  </si>
  <si>
    <t>F</t>
  </si>
  <si>
    <t>T</t>
  </si>
  <si>
    <t>Q</t>
  </si>
  <si>
    <t>Fototessere</t>
  </si>
  <si>
    <t>x</t>
  </si>
  <si>
    <t>Servizi di Attualità</t>
  </si>
  <si>
    <t>Stampe in Esterni</t>
  </si>
  <si>
    <t>Matrimoni e Cerimonie - 1^Stampa</t>
  </si>
  <si>
    <t>Ripresa Matrimonio</t>
  </si>
  <si>
    <t>Ripresa Battesimo</t>
  </si>
  <si>
    <t>Ripresa Comunione/Cresima</t>
  </si>
  <si>
    <t>Formato 50x70 Colore</t>
  </si>
  <si>
    <t>Riproduzione di foto o disegni senza ritocco</t>
  </si>
  <si>
    <t>Riproduzione in b&amp;n 135</t>
  </si>
  <si>
    <t>Riproduzione in b&amp;n 120</t>
  </si>
  <si>
    <t>Riproduzione in b&amp;n 6x9</t>
  </si>
  <si>
    <t>Riproduzione in b&amp;n 9x12 e 4"x5"</t>
  </si>
  <si>
    <t>Riproduzione in b&amp;n 13x18</t>
  </si>
  <si>
    <t>Riproduzione in b&amp;n 20x25</t>
  </si>
  <si>
    <t>Riproduzione in  neg. col.  135</t>
  </si>
  <si>
    <t>Riproduzione in  neg. col.  120</t>
  </si>
  <si>
    <t>Riproduzione in  neg. col.  6x9</t>
  </si>
  <si>
    <t>Riproduzione in  neg. col.  9x12 e 4"x5"</t>
  </si>
  <si>
    <t>Formato 40x50 da diapositiva</t>
  </si>
  <si>
    <t>Formato 50x70 da diapositiva</t>
  </si>
  <si>
    <t>Duplicati da Still-Life</t>
  </si>
  <si>
    <t>Duplicato b&amp;n 135</t>
  </si>
  <si>
    <t>Duplicato b&amp;n 120</t>
  </si>
  <si>
    <t>Duplicato b&amp;n 6x9</t>
  </si>
  <si>
    <t>Duplicato b&amp;n 9x12 e 4"x5"</t>
  </si>
  <si>
    <t>Duplicato b&amp;n 13x18</t>
  </si>
  <si>
    <t>Ripresa b&amp;n 13x18</t>
  </si>
  <si>
    <t>Ripresa b&amp;n 20x25</t>
  </si>
  <si>
    <t xml:space="preserve">Ripresa con 20 provini 135 neg. col. </t>
  </si>
  <si>
    <t xml:space="preserve">Ripresa con 12 provini 120 neg. col. </t>
  </si>
  <si>
    <t>Ripresa con 24 provini 220 neg. col.</t>
  </si>
  <si>
    <t>Ripresa neg. col.  9x12 e 4"x5"</t>
  </si>
  <si>
    <t>Ripresa neg. col. 13x18</t>
  </si>
  <si>
    <t>Ripresa neg. col. 20x25</t>
  </si>
  <si>
    <t>1^ Stampa ritratti</t>
  </si>
  <si>
    <t>Formato 13 x18 b&amp;n</t>
  </si>
  <si>
    <t>Formato 20x25 e 20x30 b&amp;n</t>
  </si>
  <si>
    <t>Formato 30x40 b&amp;n</t>
  </si>
  <si>
    <t>Formato 40x50 b&amp;n</t>
  </si>
  <si>
    <t>Formato 50x70 b&amp;n</t>
  </si>
  <si>
    <t>Formato 13 x18  colore</t>
  </si>
  <si>
    <t>Formato 20x25 e 20x30  colore</t>
  </si>
  <si>
    <t>Dati Standard</t>
  </si>
  <si>
    <t>Costo Minuto</t>
  </si>
  <si>
    <t>perc. Variabile</t>
  </si>
  <si>
    <t>perc. Fissa</t>
  </si>
  <si>
    <t xml:space="preserve">    "    "</t>
  </si>
  <si>
    <t>Utile</t>
  </si>
  <si>
    <t xml:space="preserve"> =</t>
  </si>
  <si>
    <t>+</t>
  </si>
  <si>
    <t>=</t>
  </si>
  <si>
    <t>4 Fototessere Immediate Polaroid</t>
  </si>
  <si>
    <t>6 Fototessere Immediate Polaroid</t>
  </si>
  <si>
    <t>4 Fototessere Immediate Digitali</t>
  </si>
  <si>
    <t>6 Fototessere Immediate Digitali</t>
  </si>
  <si>
    <t>Frequenza</t>
  </si>
  <si>
    <t>&lt;-- immettere un numero compreso tra 1 e 5</t>
  </si>
  <si>
    <t>Tecnica</t>
  </si>
  <si>
    <t>Qualità</t>
  </si>
  <si>
    <t>Iva</t>
  </si>
  <si>
    <t>Analisi del punto di pareggio</t>
  </si>
  <si>
    <t>PRESUPPOSTI/CONSUNTIVO</t>
  </si>
  <si>
    <t>Margine di contribuzione:</t>
  </si>
  <si>
    <t>Incremento di reddito auspicato:</t>
  </si>
  <si>
    <t>CALCOLO DEL PUNTO DI PAREGGIO</t>
  </si>
  <si>
    <t>Riproduzione in  neg. col.  13x18</t>
  </si>
  <si>
    <t>Riproduzione in  neg. col.  20x25</t>
  </si>
  <si>
    <t>Riproduzione in diapositiva  135</t>
  </si>
  <si>
    <t>Riproduzione in diapositiva 120</t>
  </si>
  <si>
    <t>Riproduzione in diapositiva 6x9</t>
  </si>
  <si>
    <t>Ristampe Formato 50x70</t>
  </si>
  <si>
    <t>Lavorazioni Generiche</t>
  </si>
  <si>
    <t>Ripresa Standard Generica</t>
  </si>
  <si>
    <t>Ripresa in Formato 135</t>
  </si>
  <si>
    <t>Ripresa in Formato 6x6</t>
  </si>
  <si>
    <t>St. da riprod. b&amp;n  20x30</t>
  </si>
  <si>
    <t>St. da riprod. b&amp;n 30x40</t>
  </si>
  <si>
    <t>St. da riprod. b&amp;n fino al 40x50</t>
  </si>
  <si>
    <t>St. da riprod. b&amp;n fino al 50x70</t>
  </si>
  <si>
    <t>St. da riprod. colore fino al 13x18</t>
  </si>
  <si>
    <t>St. da riprod. colore  20x30</t>
  </si>
  <si>
    <t>St. da riprod. colore 30x40</t>
  </si>
  <si>
    <t>St. da riprod. colore fino al 40x50</t>
  </si>
  <si>
    <t>St. da riprod. colore fino al 50x70</t>
  </si>
  <si>
    <t>St. da riprod. diapositiva fino al 13x18</t>
  </si>
  <si>
    <t>St. da riprod. diapositiva 20x30</t>
  </si>
  <si>
    <t>Formato 30x40  colore</t>
  </si>
  <si>
    <t>Formato 40x50  colore</t>
  </si>
  <si>
    <t>Formato 50x70  colore</t>
  </si>
  <si>
    <t>Ristampe ritratti (successive)</t>
  </si>
  <si>
    <t>Formato 13 x18 Colore</t>
  </si>
  <si>
    <t>Formato 20x25 e 20x30 Colore</t>
  </si>
  <si>
    <t>Formato 30x40 Colore</t>
  </si>
  <si>
    <t>Formato 40x50 Colore</t>
  </si>
  <si>
    <t>Ripresa in b&amp;n 135</t>
  </si>
  <si>
    <t>Ripresa in b&amp;n 120</t>
  </si>
  <si>
    <t>Ripresa in b&amp;n 6x9</t>
  </si>
  <si>
    <t>Ripresa in b&amp;n 9x12 e 4"x5"</t>
  </si>
  <si>
    <t>Ripresa in b&amp;n 13x18</t>
  </si>
  <si>
    <t>Ripresa in b&amp;n 20x25</t>
  </si>
  <si>
    <t>Ripresa in neg. col. 135</t>
  </si>
  <si>
    <t>Ripresa in neg. col.120</t>
  </si>
  <si>
    <t>Ripresa in neg. col. 6x9</t>
  </si>
  <si>
    <t>Ripresa in neg. col. 9x12 e 4"x5"</t>
  </si>
  <si>
    <t>Ripresa in neg. col.13x18</t>
  </si>
  <si>
    <t>Ripresa in neg. col. 20x25</t>
  </si>
  <si>
    <t>Stampe da Still-Life piccoli e medi oggetti</t>
  </si>
  <si>
    <t>Formato 13 x18 da diapositiva</t>
  </si>
  <si>
    <t>Formato 20x25 e 20x30 da diapositiva</t>
  </si>
  <si>
    <t>Formato 30x40 da diapositiva</t>
  </si>
  <si>
    <t>Costi</t>
  </si>
  <si>
    <t>Importo</t>
  </si>
  <si>
    <t>Costi/Ricavi</t>
  </si>
  <si>
    <t>Profitti o</t>
  </si>
  <si>
    <t>Ricavi</t>
  </si>
  <si>
    <t>Totali</t>
  </si>
  <si>
    <t>Contribuzione</t>
  </si>
  <si>
    <t>a pareggio</t>
  </si>
  <si>
    <t>perdite</t>
  </si>
  <si>
    <t>TABELLA DEL PUNTO DI PAREGGIO</t>
  </si>
  <si>
    <t>Duplicato b&amp;n 20x25</t>
  </si>
  <si>
    <t>Duplicato neg.col. 135</t>
  </si>
  <si>
    <t>Duplicato neg.col.120</t>
  </si>
  <si>
    <t>Duplicato neg.col. 6x9</t>
  </si>
  <si>
    <t>Duplicato neg.col. 9x12 e 4"x5"</t>
  </si>
  <si>
    <t>Duplicato neg.col. 13x18</t>
  </si>
  <si>
    <t>Ripresa in Formato 6x9</t>
  </si>
  <si>
    <t>Fotobiglietti Colore  min. 10</t>
  </si>
  <si>
    <t>Ristampa fotobiglietti colore</t>
  </si>
  <si>
    <t>Prontuario Professionale Fotografi Confartigianato</t>
  </si>
  <si>
    <t>al giorno:</t>
  </si>
  <si>
    <t>Note</t>
  </si>
  <si>
    <t>Ricavi Totali:</t>
  </si>
  <si>
    <t>Costi Totali:</t>
  </si>
  <si>
    <t>dei ricavi</t>
  </si>
  <si>
    <t xml:space="preserve">Costi Fissi: </t>
  </si>
  <si>
    <t>Costi Variabili</t>
  </si>
  <si>
    <t>Minuti Lavoro Anno:</t>
  </si>
  <si>
    <t>Costo Madopera Diretta al Minuto</t>
  </si>
  <si>
    <t>Percentuale Iva</t>
  </si>
  <si>
    <t>Costo Manodopera Diretta Anno</t>
  </si>
  <si>
    <t>Acquisti Materie Prime</t>
  </si>
  <si>
    <t>Utile Risultante</t>
  </si>
  <si>
    <t>Il Prontuario attuale è:</t>
  </si>
  <si>
    <t>St. da riprod. diapositiva 30x40</t>
  </si>
  <si>
    <t>St. da riprod. diapositiva 40x50</t>
  </si>
  <si>
    <t>St. da riprod. diapositiva 50x70</t>
  </si>
  <si>
    <t>Still-Life piccoli e medi oggetti</t>
  </si>
  <si>
    <t>Ripresa Attualità Generico</t>
  </si>
  <si>
    <t>Stampa fino al Formato 13x18</t>
  </si>
  <si>
    <t>Stampa Formato 20x25 e 20x30</t>
  </si>
  <si>
    <t>Stampa Formato 24x24</t>
  </si>
  <si>
    <t>Stampa Formato 24x30</t>
  </si>
  <si>
    <t>Stampa Formato 30x30 e 30x45</t>
  </si>
  <si>
    <t>Stampa Formato 40x40</t>
  </si>
  <si>
    <t>Stampa Formato 50x70</t>
  </si>
  <si>
    <t>Matrimoni e Cerimonie - 2^Stampa</t>
  </si>
  <si>
    <t>Ristampe Formato 13x18 e 13x20</t>
  </si>
  <si>
    <t>Ristampe Formato 20x25 e 20x30</t>
  </si>
  <si>
    <t>Ristampe Formato 24x24</t>
  </si>
  <si>
    <t>Ristampe Formato 24x30</t>
  </si>
  <si>
    <t>Ristampe Formato 30x30 e 30x45</t>
  </si>
  <si>
    <t>Ristampe Formato 40x40</t>
  </si>
  <si>
    <t>Servizio fotografico colore</t>
  </si>
  <si>
    <t>Servizio fotografico b&amp;n</t>
  </si>
  <si>
    <t>Ripresa con 20 provini 135 b&amp;n</t>
  </si>
  <si>
    <t xml:space="preserve">Ripresa con 12 provini 120 b&amp;n </t>
  </si>
  <si>
    <t>Ripresa b&amp;n  9x12 e 4"x5"</t>
  </si>
  <si>
    <t>Studi di Settore</t>
  </si>
  <si>
    <t>in realizzazione</t>
  </si>
  <si>
    <t>Analisi Statistiche</t>
  </si>
  <si>
    <t>Titolo Grafico:</t>
  </si>
  <si>
    <t>Etichette</t>
  </si>
  <si>
    <t>Dati</t>
  </si>
  <si>
    <t>Ricavi 1990</t>
  </si>
  <si>
    <t>Ricavi 1991</t>
  </si>
  <si>
    <t>Ricavi 1992</t>
  </si>
  <si>
    <t>Ricavi 1993</t>
  </si>
  <si>
    <t>Ricavi 1994</t>
  </si>
  <si>
    <t>Ricavi 1995</t>
  </si>
  <si>
    <t>Ricavi 1996</t>
  </si>
  <si>
    <t>Ricavi 1997</t>
  </si>
  <si>
    <t>Ricavi 1998</t>
  </si>
  <si>
    <t>Ricavi 1999</t>
  </si>
  <si>
    <t>Ricavi 2000</t>
  </si>
  <si>
    <t xml:space="preserve"> </t>
  </si>
  <si>
    <t>Numero addetti</t>
  </si>
  <si>
    <t>Minuti lavorati nell'Anno</t>
  </si>
  <si>
    <t>Ore lavorate nell'Anno</t>
  </si>
  <si>
    <t>Ricavi 2001</t>
  </si>
  <si>
    <t>Analisi Statistica Anni 1990-2001</t>
  </si>
  <si>
    <t>Servizi di Attualità (spese uscita)</t>
  </si>
  <si>
    <t>Uscita operatore</t>
  </si>
  <si>
    <t>Uscita operatore ora successiva</t>
  </si>
  <si>
    <t>Fuori orario</t>
  </si>
  <si>
    <t>Orario festivo</t>
  </si>
  <si>
    <t>Spesa al Km automezzo nel comune</t>
  </si>
  <si>
    <t>Spesa al Km automezzo fuori comune</t>
  </si>
  <si>
    <t>Minuti Lavoro</t>
  </si>
  <si>
    <t>Costo Unitario Minuto</t>
  </si>
  <si>
    <t>Costo Unitario Materia Prima</t>
  </si>
  <si>
    <t>Quantità</t>
  </si>
  <si>
    <t>Totale Generale Costi</t>
  </si>
  <si>
    <t>&lt;--'std' = Prontuario Demo  - vuoto = Prontuario Personalizzato</t>
  </si>
  <si>
    <t>Riferimento</t>
  </si>
  <si>
    <t xml:space="preserve">                     Formazione Riferimento Personalizzata</t>
  </si>
  <si>
    <t>std</t>
  </si>
</sst>
</file>

<file path=xl/styles.xml><?xml version="1.0" encoding="utf-8"?>
<styleSheet xmlns="http://schemas.openxmlformats.org/spreadsheetml/2006/main">
  <numFmts count="3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quot;L. &quot;#,##0;\-&quot;L. &quot;#,##0"/>
    <numFmt numFmtId="173" formatCode="&quot;L. &quot;#,##0;[Red]\-&quot;L. &quot;#,##0"/>
    <numFmt numFmtId="174" formatCode="&quot;L. &quot;#,##0.00;\-&quot;L. &quot;#,##0.00"/>
    <numFmt numFmtId="175" formatCode="&quot;L. &quot;#,##0.00;[Red]\-&quot;L. &quot;#,##0.00"/>
    <numFmt numFmtId="176" formatCode="_-&quot;L. &quot;* #,##0_-;\-&quot;L. &quot;* #,##0_-;_-&quot;L. &quot;* &quot;-&quot;_-;_-@_-"/>
    <numFmt numFmtId="177" formatCode="_-&quot;L. &quot;* #,##0.00_-;\-&quot;L. &quot;* #,##0.00_-;_-&quot;L. &quot;* &quot;-&quot;??_-;_-@_-"/>
    <numFmt numFmtId="178" formatCode="&quot;L.&quot;\ #,##0;\-&quot;L.&quot;\ #,##0"/>
    <numFmt numFmtId="179" formatCode="&quot;L.&quot;\ #,##0;[Red]\-&quot;L.&quot;\ #,##0"/>
    <numFmt numFmtId="180" formatCode="&quot;L.&quot;\ #,##0.00;\-&quot;L.&quot;\ #,##0.00"/>
    <numFmt numFmtId="181" formatCode="&quot;L.&quot;\ #,##0.00;[Red]\-&quot;L.&quot;\ #,##0.00"/>
    <numFmt numFmtId="182" formatCode="_-&quot;L.&quot;\ * #,##0_-;\-&quot;L.&quot;\ * #,##0_-;_-&quot;L.&quot;\ * &quot;-&quot;_-;_-@_-"/>
    <numFmt numFmtId="183" formatCode="_-&quot;L.&quot;\ * #,##0.00_-;\-&quot;L.&quot;\ * #,##0.00_-;_-&quot;L.&quot;\ * &quot;-&quot;??_-;_-@_-"/>
    <numFmt numFmtId="184" formatCode="0.0"/>
    <numFmt numFmtId="185" formatCode="###.###"/>
    <numFmt numFmtId="186" formatCode="[$€-2]\ #,##0_ ;\-[$€-2]\ #,##0\ "/>
    <numFmt numFmtId="187" formatCode="[$€-2]\ #,##0"/>
    <numFmt numFmtId="188" formatCode="#,##0.00\ &quot;€&quot;"/>
  </numFmts>
  <fonts count="90">
    <font>
      <sz val="10"/>
      <name val="Geneva"/>
      <family val="0"/>
    </font>
    <font>
      <b/>
      <sz val="10"/>
      <name val="Geneva"/>
      <family val="0"/>
    </font>
    <font>
      <i/>
      <sz val="10"/>
      <name val="Geneva"/>
      <family val="0"/>
    </font>
    <font>
      <b/>
      <i/>
      <sz val="10"/>
      <name val="Geneva"/>
      <family val="0"/>
    </font>
    <font>
      <b/>
      <sz val="10"/>
      <color indexed="8"/>
      <name val="Geneva"/>
      <family val="0"/>
    </font>
    <font>
      <sz val="9"/>
      <color indexed="8"/>
      <name val="Geneva"/>
      <family val="0"/>
    </font>
    <font>
      <sz val="10"/>
      <color indexed="8"/>
      <name val="Geneva"/>
      <family val="0"/>
    </font>
    <font>
      <b/>
      <sz val="9"/>
      <color indexed="8"/>
      <name val="Geneva"/>
      <family val="0"/>
    </font>
    <font>
      <sz val="9"/>
      <name val="Geneva"/>
      <family val="0"/>
    </font>
    <font>
      <sz val="9"/>
      <color indexed="39"/>
      <name val="Geneva"/>
      <family val="0"/>
    </font>
    <font>
      <b/>
      <sz val="9"/>
      <color indexed="39"/>
      <name val="Geneva"/>
      <family val="0"/>
    </font>
    <font>
      <b/>
      <i/>
      <sz val="9"/>
      <color indexed="10"/>
      <name val="Geneva"/>
      <family val="0"/>
    </font>
    <font>
      <sz val="9"/>
      <color indexed="10"/>
      <name val="Geneva"/>
      <family val="0"/>
    </font>
    <font>
      <i/>
      <sz val="9"/>
      <color indexed="10"/>
      <name val="Geneva"/>
      <family val="0"/>
    </font>
    <font>
      <i/>
      <sz val="9"/>
      <color indexed="39"/>
      <name val="Geneva"/>
      <family val="0"/>
    </font>
    <font>
      <b/>
      <sz val="9"/>
      <color indexed="10"/>
      <name val="Geneva"/>
      <family val="0"/>
    </font>
    <font>
      <sz val="10"/>
      <color indexed="39"/>
      <name val="Geneva"/>
      <family val="0"/>
    </font>
    <font>
      <i/>
      <sz val="9"/>
      <color indexed="8"/>
      <name val="Geneva"/>
      <family val="0"/>
    </font>
    <font>
      <b/>
      <i/>
      <sz val="9"/>
      <color indexed="8"/>
      <name val="Geneva"/>
      <family val="0"/>
    </font>
    <font>
      <i/>
      <sz val="9"/>
      <name val="Geneva"/>
      <family val="0"/>
    </font>
    <font>
      <sz val="9"/>
      <color indexed="17"/>
      <name val="Geneva"/>
      <family val="0"/>
    </font>
    <font>
      <i/>
      <sz val="9"/>
      <color indexed="17"/>
      <name val="Geneva"/>
      <family val="0"/>
    </font>
    <font>
      <b/>
      <sz val="9"/>
      <color indexed="17"/>
      <name val="Geneva"/>
      <family val="0"/>
    </font>
    <font>
      <b/>
      <sz val="9"/>
      <color indexed="33"/>
      <name val="Geneva"/>
      <family val="0"/>
    </font>
    <font>
      <sz val="9"/>
      <color indexed="33"/>
      <name val="Geneva"/>
      <family val="0"/>
    </font>
    <font>
      <i/>
      <sz val="9"/>
      <color indexed="33"/>
      <name val="Geneva"/>
      <family val="0"/>
    </font>
    <font>
      <b/>
      <sz val="9"/>
      <color indexed="60"/>
      <name val="Geneva"/>
      <family val="0"/>
    </font>
    <font>
      <i/>
      <sz val="9"/>
      <color indexed="60"/>
      <name val="Geneva"/>
      <family val="0"/>
    </font>
    <font>
      <b/>
      <sz val="9"/>
      <name val="Geneva"/>
      <family val="0"/>
    </font>
    <font>
      <b/>
      <sz val="9"/>
      <color indexed="13"/>
      <name val="Geneva"/>
      <family val="0"/>
    </font>
    <font>
      <sz val="9"/>
      <color indexed="63"/>
      <name val="Geneva"/>
      <family val="0"/>
    </font>
    <font>
      <b/>
      <sz val="9"/>
      <color indexed="63"/>
      <name val="Geneva"/>
      <family val="0"/>
    </font>
    <font>
      <b/>
      <sz val="14"/>
      <color indexed="39"/>
      <name val="Times New Roman"/>
      <family val="0"/>
    </font>
    <font>
      <b/>
      <sz val="9"/>
      <color indexed="55"/>
      <name val="Geneva"/>
      <family val="0"/>
    </font>
    <font>
      <sz val="9"/>
      <color indexed="55"/>
      <name val="Geneva"/>
      <family val="0"/>
    </font>
    <font>
      <b/>
      <sz val="12"/>
      <color indexed="13"/>
      <name val="Geneva"/>
      <family val="0"/>
    </font>
    <font>
      <b/>
      <sz val="9"/>
      <color indexed="63"/>
      <name val="Times"/>
      <family val="0"/>
    </font>
    <font>
      <sz val="10"/>
      <name val="Times"/>
      <family val="0"/>
    </font>
    <font>
      <b/>
      <sz val="10"/>
      <color indexed="13"/>
      <name val="Geneva"/>
      <family val="0"/>
    </font>
    <font>
      <b/>
      <sz val="9"/>
      <color indexed="9"/>
      <name val="Times"/>
      <family val="0"/>
    </font>
    <font>
      <sz val="20"/>
      <name val="Arial"/>
      <family val="0"/>
    </font>
    <font>
      <sz val="12"/>
      <name val="Charcoal"/>
      <family val="0"/>
    </font>
    <font>
      <b/>
      <sz val="14"/>
      <name val="Geneva"/>
      <family val="0"/>
    </font>
    <font>
      <i/>
      <sz val="10"/>
      <color indexed="63"/>
      <name val="Geneva"/>
      <family val="0"/>
    </font>
    <font>
      <sz val="14"/>
      <name val="Geneva"/>
      <family val="0"/>
    </font>
    <font>
      <sz val="10"/>
      <color indexed="22"/>
      <name val="Geneva"/>
      <family val="0"/>
    </font>
    <font>
      <b/>
      <sz val="12"/>
      <name val="Geneva"/>
      <family val="0"/>
    </font>
    <font>
      <b/>
      <sz val="18"/>
      <name val="Geneva"/>
      <family val="0"/>
    </font>
    <font>
      <sz val="14"/>
      <name val="Times New Roman"/>
      <family val="0"/>
    </font>
    <font>
      <sz val="12"/>
      <name val="Courier"/>
      <family val="0"/>
    </font>
    <font>
      <sz val="12"/>
      <color indexed="39"/>
      <name val="Courier"/>
      <family val="0"/>
    </font>
    <font>
      <sz val="12"/>
      <color indexed="14"/>
      <name val="Courier"/>
      <family val="0"/>
    </font>
    <font>
      <sz val="12"/>
      <color indexed="13"/>
      <name val="Courier"/>
      <family val="0"/>
    </font>
    <font>
      <sz val="12"/>
      <color indexed="35"/>
      <name val="Courier"/>
      <family val="0"/>
    </font>
    <font>
      <sz val="12"/>
      <color indexed="36"/>
      <name val="Courier"/>
      <family val="0"/>
    </font>
    <font>
      <i/>
      <sz val="10"/>
      <color indexed="39"/>
      <name val="Geneva"/>
      <family val="0"/>
    </font>
    <font>
      <sz val="10"/>
      <color indexed="9"/>
      <name val="Geneva"/>
      <family val="0"/>
    </font>
    <font>
      <i/>
      <sz val="10"/>
      <color indexed="12"/>
      <name val="Geneva"/>
      <family val="0"/>
    </font>
    <font>
      <b/>
      <i/>
      <sz val="9"/>
      <color indexed="39"/>
      <name val="Geneva"/>
      <family val="0"/>
    </font>
    <font>
      <sz val="9"/>
      <name val="Arial"/>
      <family val="0"/>
    </font>
    <font>
      <b/>
      <i/>
      <sz val="10"/>
      <color indexed="39"/>
      <name val="Geneva"/>
      <family val="0"/>
    </font>
    <font>
      <i/>
      <sz val="9"/>
      <color indexed="63"/>
      <name val="Geneva"/>
      <family val="0"/>
    </font>
    <font>
      <b/>
      <i/>
      <sz val="9"/>
      <name val="Geneva"/>
      <family val="0"/>
    </font>
    <font>
      <b/>
      <sz val="12"/>
      <color indexed="39"/>
      <name val="Geneva"/>
      <family val="0"/>
    </font>
    <font>
      <b/>
      <sz val="14"/>
      <color indexed="9"/>
      <name val="Geneva"/>
      <family val="0"/>
    </font>
    <font>
      <b/>
      <sz val="12"/>
      <color indexed="9"/>
      <name val="Geneva"/>
      <family val="0"/>
    </font>
    <font>
      <b/>
      <sz val="9"/>
      <color indexed="9"/>
      <name val="Geneva"/>
      <family val="0"/>
    </font>
    <font>
      <b/>
      <sz val="10"/>
      <color indexed="9"/>
      <name val="Geneva"/>
      <family val="0"/>
    </font>
    <font>
      <sz val="20"/>
      <color indexed="27"/>
      <name val="Arial"/>
      <family val="2"/>
    </font>
    <font>
      <sz val="10"/>
      <name val="Arial"/>
      <family val="2"/>
    </font>
    <font>
      <i/>
      <sz val="8"/>
      <color indexed="63"/>
      <name val="Arial"/>
      <family val="2"/>
    </font>
    <font>
      <sz val="8"/>
      <name val="Arial"/>
      <family val="2"/>
    </font>
    <font>
      <b/>
      <sz val="8"/>
      <name val="Arial"/>
      <family val="2"/>
    </font>
    <font>
      <sz val="16"/>
      <name val="Geneva"/>
      <family val="0"/>
    </font>
    <font>
      <b/>
      <sz val="8"/>
      <color indexed="13"/>
      <name val="Geneva"/>
      <family val="0"/>
    </font>
    <font>
      <sz val="24"/>
      <color indexed="55"/>
      <name val="Geneva"/>
      <family val="0"/>
    </font>
    <font>
      <sz val="10"/>
      <color indexed="55"/>
      <name val="Geneva"/>
      <family val="0"/>
    </font>
    <font>
      <sz val="10"/>
      <color indexed="12"/>
      <name val="Geneva"/>
      <family val="0"/>
    </font>
    <font>
      <sz val="24"/>
      <color indexed="12"/>
      <name val="Geneva"/>
      <family val="0"/>
    </font>
    <font>
      <i/>
      <sz val="10"/>
      <color indexed="22"/>
      <name val="Geneva"/>
      <family val="0"/>
    </font>
    <font>
      <sz val="9"/>
      <color indexed="22"/>
      <name val="Geneva"/>
      <family val="0"/>
    </font>
    <font>
      <sz val="14"/>
      <color indexed="12"/>
      <name val="Geneva"/>
      <family val="0"/>
    </font>
    <font>
      <b/>
      <sz val="10"/>
      <color indexed="39"/>
      <name val="Geneva"/>
      <family val="0"/>
    </font>
    <font>
      <u val="single"/>
      <sz val="10"/>
      <color indexed="12"/>
      <name val="Geneva"/>
      <family val="0"/>
    </font>
    <font>
      <u val="single"/>
      <sz val="10"/>
      <color indexed="36"/>
      <name val="Geneva"/>
      <family val="0"/>
    </font>
    <font>
      <b/>
      <sz val="9"/>
      <color indexed="22"/>
      <name val="Geneva"/>
      <family val="0"/>
    </font>
    <font>
      <i/>
      <sz val="9"/>
      <color indexed="22"/>
      <name val="Geneva"/>
      <family val="0"/>
    </font>
    <font>
      <b/>
      <i/>
      <sz val="9"/>
      <color indexed="22"/>
      <name val="Geneva"/>
      <family val="0"/>
    </font>
    <font>
      <b/>
      <sz val="12"/>
      <color indexed="39"/>
      <name val="Arial"/>
      <family val="2"/>
    </font>
    <font>
      <u val="single"/>
      <sz val="9"/>
      <name val="Geneva"/>
      <family val="0"/>
    </font>
  </fonts>
  <fills count="10">
    <fill>
      <patternFill/>
    </fill>
    <fill>
      <patternFill patternType="gray125"/>
    </fill>
    <fill>
      <patternFill patternType="solid">
        <fgColor indexed="39"/>
        <bgColor indexed="64"/>
      </patternFill>
    </fill>
    <fill>
      <patternFill patternType="solid">
        <fgColor indexed="13"/>
        <bgColor indexed="64"/>
      </patternFill>
    </fill>
    <fill>
      <patternFill patternType="solid">
        <fgColor indexed="22"/>
        <bgColor indexed="64"/>
      </patternFill>
    </fill>
    <fill>
      <patternFill patternType="solid">
        <fgColor indexed="56"/>
        <bgColor indexed="64"/>
      </patternFill>
    </fill>
    <fill>
      <patternFill patternType="solid">
        <fgColor indexed="41"/>
        <bgColor indexed="64"/>
      </patternFill>
    </fill>
    <fill>
      <patternFill patternType="solid">
        <fgColor indexed="48"/>
        <bgColor indexed="64"/>
      </patternFill>
    </fill>
    <fill>
      <patternFill patternType="solid">
        <fgColor indexed="22"/>
        <bgColor indexed="64"/>
      </patternFill>
    </fill>
    <fill>
      <patternFill patternType="solid">
        <fgColor indexed="41"/>
        <bgColor indexed="64"/>
      </patternFill>
    </fill>
  </fills>
  <borders count="25">
    <border>
      <left/>
      <right/>
      <top/>
      <bottom/>
      <diagonal/>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ck">
        <color indexed="13"/>
      </top>
      <bottom style="thick">
        <color indexed="13"/>
      </bottom>
    </border>
    <border>
      <left>
        <color indexed="63"/>
      </left>
      <right>
        <color indexed="63"/>
      </right>
      <top style="thin"/>
      <bottom>
        <color indexed="63"/>
      </bottom>
    </border>
    <border>
      <left>
        <color indexed="63"/>
      </left>
      <right style="thick">
        <color indexed="13"/>
      </right>
      <top style="thick">
        <color indexed="13"/>
      </top>
      <bottom style="thick">
        <color indexed="13"/>
      </bottom>
    </border>
    <border>
      <left>
        <color indexed="63"/>
      </left>
      <right style="medium">
        <color indexed="26"/>
      </right>
      <top style="medium">
        <color indexed="34"/>
      </top>
      <bottom style="medium">
        <color indexed="34"/>
      </bottom>
    </border>
    <border>
      <left>
        <color indexed="63"/>
      </left>
      <right style="medium">
        <color indexed="34"/>
      </right>
      <top style="medium">
        <color indexed="34"/>
      </top>
      <bottom style="medium">
        <color indexed="34"/>
      </bottom>
    </border>
    <border>
      <left>
        <color indexed="63"/>
      </left>
      <right style="medium">
        <color indexed="26"/>
      </right>
      <top style="medium">
        <color indexed="13"/>
      </top>
      <bottom style="medium">
        <color indexed="13"/>
      </bottom>
    </border>
    <border>
      <left style="thin"/>
      <right style="thin"/>
      <top style="thin"/>
      <bottom style="thin"/>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color indexed="63"/>
      </top>
      <bottom style="medium"/>
    </border>
    <border>
      <left style="medium">
        <color indexed="34"/>
      </left>
      <right>
        <color indexed="63"/>
      </right>
      <top style="medium">
        <color indexed="34"/>
      </top>
      <bottom style="medium">
        <color indexed="34"/>
      </bottom>
    </border>
    <border>
      <left style="thick">
        <color indexed="13"/>
      </left>
      <right>
        <color indexed="63"/>
      </right>
      <top style="thick">
        <color indexed="13"/>
      </top>
      <bottom style="thick">
        <color indexed="13"/>
      </bottom>
    </border>
    <border>
      <left style="medium"/>
      <right style="medium"/>
      <top style="medium"/>
      <bottom style="medium"/>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9"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cellStyleXfs>
  <cellXfs count="302">
    <xf numFmtId="0" fontId="0" fillId="0" borderId="0" xfId="0" applyAlignment="1">
      <alignment/>
    </xf>
    <xf numFmtId="0" fontId="8" fillId="0" borderId="0" xfId="0" applyFont="1" applyAlignment="1" applyProtection="1">
      <alignment/>
      <protection hidden="1"/>
    </xf>
    <xf numFmtId="0" fontId="0" fillId="0" borderId="0" xfId="0" applyAlignment="1" applyProtection="1">
      <alignment/>
      <protection hidden="1"/>
    </xf>
    <xf numFmtId="0" fontId="9" fillId="0" borderId="0" xfId="0" applyFont="1" applyAlignment="1" applyProtection="1">
      <alignment/>
      <protection hidden="1"/>
    </xf>
    <xf numFmtId="0" fontId="20" fillId="0" borderId="0" xfId="0" applyFont="1" applyAlignment="1" applyProtection="1">
      <alignment/>
      <protection hidden="1"/>
    </xf>
    <xf numFmtId="0" fontId="24" fillId="0" borderId="0" xfId="0" applyFont="1" applyAlignment="1" applyProtection="1">
      <alignment/>
      <protection hidden="1"/>
    </xf>
    <xf numFmtId="0" fontId="26" fillId="0" borderId="0" xfId="0" applyFont="1" applyAlignment="1" applyProtection="1">
      <alignment/>
      <protection hidden="1"/>
    </xf>
    <xf numFmtId="3" fontId="29" fillId="2" borderId="0" xfId="0" applyNumberFormat="1" applyFont="1" applyFill="1" applyBorder="1" applyAlignment="1" applyProtection="1">
      <alignment/>
      <protection hidden="1"/>
    </xf>
    <xf numFmtId="0" fontId="9" fillId="3" borderId="1" xfId="0" applyFont="1" applyFill="1" applyBorder="1" applyAlignment="1" applyProtection="1">
      <alignment/>
      <protection hidden="1"/>
    </xf>
    <xf numFmtId="0" fontId="9" fillId="3" borderId="1" xfId="0" applyFont="1" applyFill="1" applyBorder="1" applyAlignment="1" applyProtection="1">
      <alignment horizontal="center"/>
      <protection hidden="1"/>
    </xf>
    <xf numFmtId="3" fontId="9" fillId="3" borderId="1" xfId="0" applyNumberFormat="1" applyFont="1" applyFill="1" applyBorder="1" applyAlignment="1" applyProtection="1">
      <alignment horizontal="center"/>
      <protection hidden="1"/>
    </xf>
    <xf numFmtId="3" fontId="10" fillId="3" borderId="1" xfId="0" applyNumberFormat="1" applyFont="1" applyFill="1" applyBorder="1" applyAlignment="1" applyProtection="1">
      <alignment/>
      <protection hidden="1"/>
    </xf>
    <xf numFmtId="3" fontId="9" fillId="3" borderId="2" xfId="0" applyNumberFormat="1" applyFont="1" applyFill="1" applyBorder="1" applyAlignment="1" applyProtection="1">
      <alignment horizontal="center"/>
      <protection hidden="1"/>
    </xf>
    <xf numFmtId="3" fontId="9" fillId="3" borderId="3" xfId="0" applyNumberFormat="1" applyFont="1" applyFill="1" applyBorder="1" applyAlignment="1" applyProtection="1">
      <alignment horizontal="center"/>
      <protection hidden="1"/>
    </xf>
    <xf numFmtId="3" fontId="7" fillId="3" borderId="1" xfId="0" applyNumberFormat="1" applyFont="1" applyFill="1" applyBorder="1" applyAlignment="1" applyProtection="1">
      <alignment/>
      <protection hidden="1"/>
    </xf>
    <xf numFmtId="3" fontId="26" fillId="3" borderId="1" xfId="0" applyNumberFormat="1" applyFont="1" applyFill="1" applyBorder="1" applyAlignment="1" applyProtection="1">
      <alignment/>
      <protection hidden="1" locked="0"/>
    </xf>
    <xf numFmtId="0" fontId="5" fillId="3" borderId="1" xfId="0" applyFont="1" applyFill="1" applyBorder="1" applyAlignment="1" applyProtection="1">
      <alignment/>
      <protection hidden="1" locked="0"/>
    </xf>
    <xf numFmtId="0" fontId="14" fillId="3" borderId="1" xfId="0" applyFont="1" applyFill="1" applyBorder="1" applyAlignment="1" applyProtection="1">
      <alignment/>
      <protection hidden="1" locked="0"/>
    </xf>
    <xf numFmtId="3" fontId="5" fillId="3" borderId="1" xfId="0" applyNumberFormat="1" applyFont="1" applyFill="1" applyBorder="1" applyAlignment="1" applyProtection="1">
      <alignment/>
      <protection hidden="1" locked="0"/>
    </xf>
    <xf numFmtId="3" fontId="10" fillId="3" borderId="1" xfId="0" applyNumberFormat="1" applyFont="1" applyFill="1" applyBorder="1" applyAlignment="1" applyProtection="1">
      <alignment horizontal="center"/>
      <protection hidden="1" locked="0"/>
    </xf>
    <xf numFmtId="3" fontId="10" fillId="3" borderId="1" xfId="0" applyNumberFormat="1" applyFont="1" applyFill="1" applyBorder="1" applyAlignment="1" applyProtection="1">
      <alignment/>
      <protection hidden="1" locked="0"/>
    </xf>
    <xf numFmtId="0" fontId="9" fillId="3" borderId="1" xfId="0" applyFont="1" applyFill="1" applyBorder="1" applyAlignment="1" applyProtection="1">
      <alignment/>
      <protection hidden="1" locked="0"/>
    </xf>
    <xf numFmtId="3" fontId="9" fillId="3" borderId="1" xfId="0" applyNumberFormat="1" applyFont="1" applyFill="1" applyBorder="1" applyAlignment="1" applyProtection="1">
      <alignment/>
      <protection hidden="1" locked="0"/>
    </xf>
    <xf numFmtId="0" fontId="14" fillId="3" borderId="1" xfId="0" applyFont="1" applyFill="1" applyBorder="1" applyAlignment="1" applyProtection="1">
      <alignment horizontal="left"/>
      <protection hidden="1" locked="0"/>
    </xf>
    <xf numFmtId="0" fontId="30" fillId="0" borderId="0" xfId="0" applyFont="1" applyAlignment="1" applyProtection="1">
      <alignment/>
      <protection hidden="1"/>
    </xf>
    <xf numFmtId="3" fontId="14" fillId="3" borderId="1" xfId="0" applyNumberFormat="1" applyFont="1" applyFill="1" applyBorder="1" applyAlignment="1" applyProtection="1">
      <alignment horizontal="center"/>
      <protection hidden="1"/>
    </xf>
    <xf numFmtId="0" fontId="32" fillId="3" borderId="1" xfId="0" applyFont="1" applyFill="1" applyBorder="1" applyAlignment="1" applyProtection="1">
      <alignment horizontal="center"/>
      <protection hidden="1"/>
    </xf>
    <xf numFmtId="0" fontId="32" fillId="3" borderId="1" xfId="0" applyFont="1" applyFill="1" applyBorder="1" applyAlignment="1" applyProtection="1">
      <alignment horizontal="center"/>
      <protection hidden="1" locked="0"/>
    </xf>
    <xf numFmtId="0" fontId="10" fillId="3" borderId="1" xfId="0" applyFont="1" applyFill="1" applyBorder="1" applyAlignment="1" applyProtection="1">
      <alignment horizontal="center"/>
      <protection hidden="1" locked="0"/>
    </xf>
    <xf numFmtId="0" fontId="34" fillId="3" borderId="1" xfId="0" applyFont="1" applyFill="1" applyBorder="1" applyAlignment="1" applyProtection="1">
      <alignment/>
      <protection hidden="1"/>
    </xf>
    <xf numFmtId="0" fontId="34" fillId="3" borderId="1" xfId="0" applyFont="1" applyFill="1" applyBorder="1" applyAlignment="1" applyProtection="1">
      <alignment horizontal="center"/>
      <protection hidden="1" locked="0"/>
    </xf>
    <xf numFmtId="0" fontId="34" fillId="0" borderId="0" xfId="0" applyFont="1" applyAlignment="1" applyProtection="1">
      <alignment/>
      <protection hidden="1"/>
    </xf>
    <xf numFmtId="0" fontId="34" fillId="3" borderId="1" xfId="0" applyFont="1" applyFill="1" applyBorder="1" applyAlignment="1" applyProtection="1">
      <alignment horizontal="center"/>
      <protection hidden="1"/>
    </xf>
    <xf numFmtId="0" fontId="34" fillId="0" borderId="0" xfId="0" applyFont="1" applyAlignment="1" applyProtection="1">
      <alignment horizontal="center"/>
      <protection hidden="1"/>
    </xf>
    <xf numFmtId="3" fontId="34" fillId="3" borderId="1" xfId="0" applyNumberFormat="1" applyFont="1" applyFill="1" applyBorder="1" applyAlignment="1" applyProtection="1">
      <alignment horizontal="center"/>
      <protection hidden="1"/>
    </xf>
    <xf numFmtId="3" fontId="33" fillId="3" borderId="1" xfId="0" applyNumberFormat="1" applyFont="1" applyFill="1" applyBorder="1" applyAlignment="1" applyProtection="1">
      <alignment horizontal="center"/>
      <protection hidden="1" locked="0"/>
    </xf>
    <xf numFmtId="0" fontId="30" fillId="3" borderId="1" xfId="0" applyFont="1" applyFill="1" applyBorder="1" applyAlignment="1" applyProtection="1">
      <alignment/>
      <protection hidden="1"/>
    </xf>
    <xf numFmtId="3" fontId="30" fillId="3" borderId="1" xfId="0" applyNumberFormat="1" applyFont="1" applyFill="1" applyBorder="1" applyAlignment="1" applyProtection="1">
      <alignment/>
      <protection hidden="1"/>
    </xf>
    <xf numFmtId="0" fontId="37" fillId="0" borderId="0" xfId="0" applyFont="1" applyAlignment="1" applyProtection="1">
      <alignment/>
      <protection hidden="1"/>
    </xf>
    <xf numFmtId="3" fontId="37" fillId="0" borderId="0" xfId="0" applyNumberFormat="1" applyFont="1" applyAlignment="1" applyProtection="1">
      <alignment/>
      <protection hidden="1"/>
    </xf>
    <xf numFmtId="0" fontId="33" fillId="2" borderId="4" xfId="0" applyFont="1" applyFill="1" applyBorder="1" applyAlignment="1" applyProtection="1">
      <alignment horizontal="center" wrapText="1"/>
      <protection hidden="1"/>
    </xf>
    <xf numFmtId="0" fontId="29" fillId="2" borderId="4" xfId="0" applyFont="1" applyFill="1" applyBorder="1" applyAlignment="1" applyProtection="1">
      <alignment horizontal="center" wrapText="1"/>
      <protection hidden="1"/>
    </xf>
    <xf numFmtId="3" fontId="29" fillId="2" borderId="4" xfId="0" applyNumberFormat="1" applyFont="1" applyFill="1" applyBorder="1" applyAlignment="1" applyProtection="1">
      <alignment horizontal="center" wrapText="1"/>
      <protection hidden="1"/>
    </xf>
    <xf numFmtId="3" fontId="33" fillId="2" borderId="4" xfId="0" applyNumberFormat="1" applyFont="1" applyFill="1" applyBorder="1" applyAlignment="1" applyProtection="1">
      <alignment horizontal="center" wrapText="1"/>
      <protection hidden="1"/>
    </xf>
    <xf numFmtId="0" fontId="35" fillId="2" borderId="4" xfId="0" applyFont="1" applyFill="1" applyBorder="1" applyAlignment="1" applyProtection="1">
      <alignment horizontal="center" wrapText="1"/>
      <protection hidden="1"/>
    </xf>
    <xf numFmtId="0" fontId="29" fillId="2" borderId="4" xfId="0" applyFont="1" applyFill="1" applyBorder="1" applyAlignment="1" applyProtection="1">
      <alignment/>
      <protection hidden="1"/>
    </xf>
    <xf numFmtId="3" fontId="14" fillId="3" borderId="5" xfId="0" applyNumberFormat="1" applyFont="1" applyFill="1" applyBorder="1" applyAlignment="1" applyProtection="1">
      <alignment horizontal="center"/>
      <protection hidden="1"/>
    </xf>
    <xf numFmtId="3" fontId="38" fillId="2" borderId="6" xfId="0" applyNumberFormat="1" applyFont="1" applyFill="1" applyBorder="1" applyAlignment="1" applyProtection="1">
      <alignment horizontal="center" wrapText="1"/>
      <protection hidden="1"/>
    </xf>
    <xf numFmtId="0" fontId="9" fillId="0" borderId="1" xfId="0" applyFont="1" applyFill="1" applyBorder="1" applyAlignment="1" applyProtection="1">
      <alignment/>
      <protection hidden="1"/>
    </xf>
    <xf numFmtId="0" fontId="16" fillId="0" borderId="1" xfId="0" applyFont="1" applyFill="1" applyBorder="1" applyAlignment="1" applyProtection="1">
      <alignment/>
      <protection hidden="1"/>
    </xf>
    <xf numFmtId="0" fontId="9" fillId="0" borderId="0" xfId="0" applyFont="1" applyFill="1" applyBorder="1" applyAlignment="1" applyProtection="1">
      <alignment/>
      <protection hidden="1"/>
    </xf>
    <xf numFmtId="0" fontId="16" fillId="0" borderId="0" xfId="0" applyFont="1" applyFill="1" applyBorder="1" applyAlignment="1" applyProtection="1">
      <alignment/>
      <protection hidden="1"/>
    </xf>
    <xf numFmtId="0" fontId="0" fillId="4" borderId="0" xfId="0" applyFill="1" applyAlignment="1">
      <alignment/>
    </xf>
    <xf numFmtId="0" fontId="40" fillId="5" borderId="7" xfId="0" applyFont="1" applyFill="1" applyBorder="1" applyAlignment="1">
      <alignment horizontal="centerContinuous" vertical="top"/>
    </xf>
    <xf numFmtId="0" fontId="40" fillId="5" borderId="8" xfId="0" applyFont="1" applyFill="1" applyBorder="1" applyAlignment="1">
      <alignment horizontal="centerContinuous" vertical="top"/>
    </xf>
    <xf numFmtId="0" fontId="40" fillId="5" borderId="9" xfId="0" applyFont="1" applyFill="1" applyBorder="1" applyAlignment="1">
      <alignment horizontal="centerContinuous" vertical="top"/>
    </xf>
    <xf numFmtId="0" fontId="0" fillId="6" borderId="10" xfId="0" applyFill="1" applyBorder="1" applyAlignment="1">
      <alignment/>
    </xf>
    <xf numFmtId="0" fontId="43" fillId="4" borderId="0" xfId="0" applyFont="1" applyFill="1" applyAlignment="1">
      <alignment/>
    </xf>
    <xf numFmtId="0" fontId="28" fillId="4" borderId="0" xfId="0" applyFont="1" applyFill="1" applyAlignment="1">
      <alignment horizontal="right"/>
    </xf>
    <xf numFmtId="1" fontId="8" fillId="4" borderId="0" xfId="0" applyNumberFormat="1" applyFont="1" applyFill="1" applyAlignment="1">
      <alignment/>
    </xf>
    <xf numFmtId="1" fontId="0" fillId="4" borderId="0" xfId="0" applyNumberFormat="1" applyFill="1" applyAlignment="1">
      <alignment/>
    </xf>
    <xf numFmtId="1" fontId="45" fillId="4" borderId="0" xfId="0" applyNumberFormat="1" applyFont="1" applyFill="1" applyAlignment="1">
      <alignment/>
    </xf>
    <xf numFmtId="0" fontId="45" fillId="4" borderId="0" xfId="0" applyFont="1" applyFill="1" applyAlignment="1">
      <alignment/>
    </xf>
    <xf numFmtId="3" fontId="45" fillId="4" borderId="0" xfId="0" applyNumberFormat="1" applyFont="1" applyFill="1" applyAlignment="1">
      <alignment/>
    </xf>
    <xf numFmtId="0" fontId="1" fillId="4" borderId="0" xfId="0" applyFont="1" applyFill="1" applyAlignment="1">
      <alignment horizontal="right"/>
    </xf>
    <xf numFmtId="0" fontId="0" fillId="4" borderId="0" xfId="0" applyFont="1" applyFill="1" applyAlignment="1">
      <alignment/>
    </xf>
    <xf numFmtId="0" fontId="46" fillId="4" borderId="0" xfId="0" applyFont="1" applyFill="1" applyAlignment="1">
      <alignment horizontal="left" vertical="top"/>
    </xf>
    <xf numFmtId="0" fontId="34" fillId="4" borderId="0" xfId="0" applyFont="1" applyFill="1" applyBorder="1" applyAlignment="1" applyProtection="1">
      <alignment horizontal="center"/>
      <protection hidden="1" locked="0"/>
    </xf>
    <xf numFmtId="0" fontId="5" fillId="4" borderId="0" xfId="0" applyFont="1" applyFill="1" applyBorder="1" applyAlignment="1" applyProtection="1">
      <alignment/>
      <protection hidden="1" locked="0"/>
    </xf>
    <xf numFmtId="3" fontId="34" fillId="4" borderId="0" xfId="0" applyNumberFormat="1" applyFont="1" applyFill="1" applyBorder="1" applyAlignment="1" applyProtection="1">
      <alignment horizontal="center"/>
      <protection hidden="1"/>
    </xf>
    <xf numFmtId="3" fontId="7" fillId="4" borderId="11" xfId="0" applyNumberFormat="1" applyFont="1" applyFill="1" applyBorder="1" applyAlignment="1" applyProtection="1">
      <alignment/>
      <protection hidden="1" locked="0"/>
    </xf>
    <xf numFmtId="3" fontId="7" fillId="4" borderId="12" xfId="0" applyNumberFormat="1" applyFont="1" applyFill="1" applyBorder="1" applyAlignment="1" applyProtection="1">
      <alignment/>
      <protection hidden="1" locked="0"/>
    </xf>
    <xf numFmtId="0" fontId="5" fillId="4" borderId="0" xfId="0" applyFont="1" applyFill="1" applyAlignment="1" applyProtection="1">
      <alignment/>
      <protection hidden="1" locked="0"/>
    </xf>
    <xf numFmtId="0" fontId="34" fillId="4" borderId="0" xfId="0" applyFont="1" applyFill="1" applyAlignment="1" applyProtection="1">
      <alignment horizontal="center"/>
      <protection hidden="1" locked="0"/>
    </xf>
    <xf numFmtId="3" fontId="34" fillId="4" borderId="0" xfId="0" applyNumberFormat="1" applyFont="1" applyFill="1" applyAlignment="1" applyProtection="1">
      <alignment horizontal="center"/>
      <protection hidden="1"/>
    </xf>
    <xf numFmtId="0" fontId="7" fillId="4" borderId="0" xfId="0" applyFont="1" applyFill="1" applyAlignment="1" applyProtection="1">
      <alignment/>
      <protection hidden="1" locked="0"/>
    </xf>
    <xf numFmtId="0" fontId="7" fillId="4" borderId="0" xfId="0" applyFont="1" applyFill="1" applyAlignment="1" applyProtection="1">
      <alignment/>
      <protection hidden="1"/>
    </xf>
    <xf numFmtId="3" fontId="7" fillId="4" borderId="0" xfId="0" applyNumberFormat="1" applyFont="1" applyFill="1" applyAlignment="1" applyProtection="1">
      <alignment/>
      <protection hidden="1" locked="0"/>
    </xf>
    <xf numFmtId="0" fontId="1" fillId="4" borderId="0" xfId="0" applyFont="1" applyFill="1" applyAlignment="1">
      <alignment horizontal="center"/>
    </xf>
    <xf numFmtId="0" fontId="47" fillId="4" borderId="0" xfId="0" applyFont="1" applyFill="1" applyAlignment="1">
      <alignment/>
    </xf>
    <xf numFmtId="0" fontId="1" fillId="4" borderId="0" xfId="0" applyFont="1" applyFill="1" applyAlignment="1">
      <alignment/>
    </xf>
    <xf numFmtId="0" fontId="1" fillId="4" borderId="0" xfId="0" applyFont="1" applyFill="1" applyAlignment="1" applyProtection="1">
      <alignment/>
      <protection locked="0"/>
    </xf>
    <xf numFmtId="0" fontId="0" fillId="4" borderId="0" xfId="0" applyFill="1" applyAlignment="1">
      <alignment horizontal="right"/>
    </xf>
    <xf numFmtId="0" fontId="1" fillId="4" borderId="13" xfId="0" applyFont="1" applyFill="1" applyBorder="1" applyAlignment="1">
      <alignment horizontal="center"/>
    </xf>
    <xf numFmtId="0" fontId="1" fillId="4" borderId="5" xfId="0" applyFont="1" applyFill="1" applyBorder="1" applyAlignment="1">
      <alignment horizontal="center"/>
    </xf>
    <xf numFmtId="0" fontId="1" fillId="4" borderId="14" xfId="0" applyFont="1" applyFill="1" applyBorder="1" applyAlignment="1">
      <alignment horizontal="center"/>
    </xf>
    <xf numFmtId="0" fontId="1" fillId="4" borderId="15" xfId="0" applyFont="1" applyFill="1" applyBorder="1" applyAlignment="1">
      <alignment horizontal="center"/>
    </xf>
    <xf numFmtId="0" fontId="1" fillId="4" borderId="16" xfId="0" applyFont="1" applyFill="1" applyBorder="1" applyAlignment="1">
      <alignment horizontal="center"/>
    </xf>
    <xf numFmtId="0" fontId="1" fillId="4" borderId="17" xfId="0" applyFont="1" applyFill="1" applyBorder="1" applyAlignment="1">
      <alignment horizontal="center"/>
    </xf>
    <xf numFmtId="0" fontId="0" fillId="4" borderId="0" xfId="0" applyFill="1" applyAlignment="1">
      <alignment wrapText="1"/>
    </xf>
    <xf numFmtId="0" fontId="1" fillId="4" borderId="12" xfId="0" applyFont="1" applyFill="1" applyBorder="1" applyAlignment="1">
      <alignment horizontal="center"/>
    </xf>
    <xf numFmtId="1" fontId="7" fillId="4" borderId="12" xfId="0" applyNumberFormat="1" applyFont="1" applyFill="1" applyBorder="1" applyAlignment="1" applyProtection="1">
      <alignment/>
      <protection locked="0"/>
    </xf>
    <xf numFmtId="1" fontId="7" fillId="4" borderId="0" xfId="0" applyNumberFormat="1" applyFont="1" applyFill="1" applyBorder="1" applyAlignment="1" applyProtection="1">
      <alignment/>
      <protection locked="0"/>
    </xf>
    <xf numFmtId="3" fontId="7" fillId="4" borderId="11" xfId="0" applyNumberFormat="1" applyFont="1" applyFill="1" applyBorder="1" applyAlignment="1" applyProtection="1">
      <alignment/>
      <protection locked="0"/>
    </xf>
    <xf numFmtId="3" fontId="7" fillId="4" borderId="12" xfId="0" applyNumberFormat="1" applyFont="1" applyFill="1" applyBorder="1" applyAlignment="1" applyProtection="1">
      <alignment/>
      <protection locked="0"/>
    </xf>
    <xf numFmtId="3" fontId="7" fillId="4" borderId="0" xfId="0" applyNumberFormat="1" applyFont="1" applyFill="1" applyBorder="1" applyAlignment="1" applyProtection="1">
      <alignment/>
      <protection locked="0"/>
    </xf>
    <xf numFmtId="0" fontId="7" fillId="4" borderId="0" xfId="0" applyFont="1" applyFill="1" applyBorder="1" applyAlignment="1" applyProtection="1">
      <alignment/>
      <protection locked="0"/>
    </xf>
    <xf numFmtId="0" fontId="7" fillId="4" borderId="0" xfId="0" applyFont="1" applyFill="1" applyAlignment="1" applyProtection="1">
      <alignment/>
      <protection locked="0"/>
    </xf>
    <xf numFmtId="3" fontId="7" fillId="4" borderId="0" xfId="0" applyNumberFormat="1" applyFont="1" applyFill="1" applyAlignment="1" applyProtection="1">
      <alignment/>
      <protection locked="0"/>
    </xf>
    <xf numFmtId="0" fontId="0" fillId="6" borderId="10" xfId="0" applyFill="1" applyBorder="1" applyAlignment="1" applyProtection="1">
      <alignment/>
      <protection locked="0"/>
    </xf>
    <xf numFmtId="1" fontId="0" fillId="6" borderId="10" xfId="0" applyNumberFormat="1" applyFill="1" applyBorder="1" applyAlignment="1" applyProtection="1">
      <alignment/>
      <protection locked="0"/>
    </xf>
    <xf numFmtId="0" fontId="5" fillId="4" borderId="0" xfId="0" applyFont="1" applyFill="1" applyAlignment="1">
      <alignment/>
    </xf>
    <xf numFmtId="0" fontId="44" fillId="4" borderId="0" xfId="0" applyFont="1" applyFill="1" applyAlignment="1">
      <alignment/>
    </xf>
    <xf numFmtId="3" fontId="39" fillId="0" borderId="0" xfId="0" applyNumberFormat="1" applyFont="1" applyFill="1" applyBorder="1" applyAlignment="1" applyProtection="1">
      <alignment horizontal="center"/>
      <protection locked="0"/>
    </xf>
    <xf numFmtId="3" fontId="36" fillId="0" borderId="0" xfId="0" applyNumberFormat="1" applyFont="1" applyFill="1" applyBorder="1" applyAlignment="1" applyProtection="1">
      <alignment horizontal="center"/>
      <protection hidden="1"/>
    </xf>
    <xf numFmtId="0" fontId="0" fillId="0" borderId="0" xfId="0" applyBorder="1" applyAlignment="1" applyProtection="1">
      <alignment/>
      <protection hidden="1"/>
    </xf>
    <xf numFmtId="0" fontId="0" fillId="0" borderId="0" xfId="0" applyBorder="1" applyAlignment="1">
      <alignment/>
    </xf>
    <xf numFmtId="0" fontId="6" fillId="0" borderId="0" xfId="0" applyFont="1" applyFill="1" applyBorder="1" applyAlignment="1" applyProtection="1">
      <alignment/>
      <protection hidden="1"/>
    </xf>
    <xf numFmtId="1" fontId="45" fillId="4" borderId="0" xfId="0" applyNumberFormat="1" applyFont="1" applyFill="1" applyAlignment="1" applyProtection="1">
      <alignment/>
      <protection hidden="1"/>
    </xf>
    <xf numFmtId="0" fontId="56" fillId="0" borderId="0" xfId="0" applyFont="1" applyFill="1" applyBorder="1" applyAlignment="1" applyProtection="1">
      <alignment/>
      <protection hidden="1"/>
    </xf>
    <xf numFmtId="0" fontId="56" fillId="0" borderId="0" xfId="0" applyFont="1" applyFill="1" applyAlignment="1" applyProtection="1">
      <alignment/>
      <protection hidden="1"/>
    </xf>
    <xf numFmtId="3" fontId="0" fillId="6" borderId="10" xfId="0" applyNumberFormat="1" applyFill="1" applyBorder="1" applyAlignment="1" applyProtection="1">
      <alignment/>
      <protection locked="0"/>
    </xf>
    <xf numFmtId="10" fontId="0" fillId="6" borderId="10" xfId="0" applyNumberFormat="1" applyFill="1" applyBorder="1" applyAlignment="1" applyProtection="1">
      <alignment/>
      <protection locked="0"/>
    </xf>
    <xf numFmtId="0" fontId="0" fillId="4" borderId="18" xfId="0" applyFill="1" applyBorder="1" applyAlignment="1" applyProtection="1">
      <alignment/>
      <protection hidden="1"/>
    </xf>
    <xf numFmtId="0" fontId="57" fillId="4" borderId="0" xfId="0" applyFont="1" applyFill="1" applyAlignment="1">
      <alignment horizontal="right"/>
    </xf>
    <xf numFmtId="0" fontId="56" fillId="0" borderId="0" xfId="0" applyFont="1" applyFill="1" applyAlignment="1" applyProtection="1">
      <alignment horizontal="left"/>
      <protection hidden="1" locked="0"/>
    </xf>
    <xf numFmtId="0" fontId="6" fillId="4" borderId="0" xfId="0" applyFont="1" applyFill="1" applyAlignment="1" applyProtection="1">
      <alignment/>
      <protection/>
    </xf>
    <xf numFmtId="0" fontId="58" fillId="3" borderId="1" xfId="0" applyFont="1" applyFill="1" applyBorder="1" applyAlignment="1" applyProtection="1">
      <alignment/>
      <protection hidden="1"/>
    </xf>
    <xf numFmtId="0" fontId="59" fillId="0" borderId="0" xfId="0" applyFont="1" applyAlignment="1" applyProtection="1">
      <alignment/>
      <protection hidden="1"/>
    </xf>
    <xf numFmtId="0" fontId="60" fillId="4" borderId="0" xfId="0" applyFont="1" applyFill="1" applyAlignment="1">
      <alignment/>
    </xf>
    <xf numFmtId="0" fontId="43" fillId="0" borderId="0" xfId="0" applyFont="1" applyFill="1" applyAlignment="1">
      <alignment/>
    </xf>
    <xf numFmtId="0" fontId="8" fillId="0" borderId="0" xfId="0" applyFont="1" applyFill="1" applyAlignment="1" applyProtection="1">
      <alignment/>
      <protection hidden="1"/>
    </xf>
    <xf numFmtId="0" fontId="61" fillId="0" borderId="0" xfId="0" applyFont="1" applyFill="1" applyAlignment="1">
      <alignment/>
    </xf>
    <xf numFmtId="0" fontId="58" fillId="4" borderId="0" xfId="0" applyFont="1" applyFill="1" applyAlignment="1">
      <alignment horizontal="right"/>
    </xf>
    <xf numFmtId="0" fontId="58" fillId="4" borderId="0" xfId="0" applyFont="1" applyFill="1" applyAlignment="1" applyProtection="1">
      <alignment/>
      <protection hidden="1"/>
    </xf>
    <xf numFmtId="0" fontId="55" fillId="4" borderId="0" xfId="0" applyFont="1" applyFill="1" applyAlignment="1" applyProtection="1">
      <alignment/>
      <protection hidden="1"/>
    </xf>
    <xf numFmtId="0" fontId="45" fillId="4" borderId="0" xfId="0" applyFont="1" applyFill="1" applyAlignment="1" applyProtection="1">
      <alignment/>
      <protection hidden="1"/>
    </xf>
    <xf numFmtId="0" fontId="62" fillId="0" borderId="0" xfId="0" applyFont="1" applyAlignment="1" applyProtection="1">
      <alignment horizontal="center"/>
      <protection hidden="1"/>
    </xf>
    <xf numFmtId="14" fontId="14" fillId="3" borderId="5" xfId="0" applyNumberFormat="1" applyFont="1" applyFill="1" applyBorder="1" applyAlignment="1" applyProtection="1">
      <alignment horizontal="left"/>
      <protection hidden="1"/>
    </xf>
    <xf numFmtId="0" fontId="14" fillId="3" borderId="3" xfId="0" applyFont="1" applyFill="1" applyBorder="1" applyAlignment="1" applyProtection="1">
      <alignment/>
      <protection hidden="1" locked="0"/>
    </xf>
    <xf numFmtId="0" fontId="14" fillId="3" borderId="3" xfId="0" applyFont="1" applyFill="1" applyBorder="1" applyAlignment="1" applyProtection="1">
      <alignment horizontal="left"/>
      <protection hidden="1" locked="0"/>
    </xf>
    <xf numFmtId="0" fontId="32" fillId="3" borderId="3" xfId="0" applyFont="1" applyFill="1" applyBorder="1" applyAlignment="1" applyProtection="1">
      <alignment horizontal="center"/>
      <protection hidden="1" locked="0"/>
    </xf>
    <xf numFmtId="0" fontId="14" fillId="3" borderId="2" xfId="0" applyFont="1" applyFill="1" applyBorder="1" applyAlignment="1" applyProtection="1">
      <alignment/>
      <protection hidden="1" locked="0"/>
    </xf>
    <xf numFmtId="0" fontId="14" fillId="3" borderId="2" xfId="0" applyFont="1" applyFill="1" applyBorder="1" applyAlignment="1" applyProtection="1">
      <alignment horizontal="left"/>
      <protection hidden="1" locked="0"/>
    </xf>
    <xf numFmtId="0" fontId="32" fillId="3" borderId="2" xfId="0" applyFont="1" applyFill="1" applyBorder="1" applyAlignment="1" applyProtection="1">
      <alignment horizontal="center"/>
      <protection hidden="1" locked="0"/>
    </xf>
    <xf numFmtId="0" fontId="5" fillId="4" borderId="11" xfId="0" applyFont="1" applyFill="1" applyBorder="1" applyAlignment="1" applyProtection="1">
      <alignment/>
      <protection hidden="1" locked="0"/>
    </xf>
    <xf numFmtId="0" fontId="30" fillId="4" borderId="11" xfId="0" applyFont="1" applyFill="1" applyBorder="1" applyAlignment="1" applyProtection="1">
      <alignment/>
      <protection hidden="1" locked="0"/>
    </xf>
    <xf numFmtId="0" fontId="35" fillId="7" borderId="4" xfId="0" applyFont="1" applyFill="1" applyBorder="1" applyAlignment="1" applyProtection="1">
      <alignment/>
      <protection hidden="1"/>
    </xf>
    <xf numFmtId="0" fontId="6" fillId="4" borderId="15" xfId="0" applyFont="1" applyFill="1" applyBorder="1" applyAlignment="1" applyProtection="1">
      <alignment/>
      <protection hidden="1" locked="0"/>
    </xf>
    <xf numFmtId="0" fontId="6" fillId="4" borderId="2" xfId="0" applyFont="1" applyFill="1" applyBorder="1" applyAlignment="1" applyProtection="1">
      <alignment/>
      <protection hidden="1" locked="0"/>
    </xf>
    <xf numFmtId="0" fontId="64" fillId="7" borderId="4" xfId="0" applyFont="1" applyFill="1" applyBorder="1" applyAlignment="1" applyProtection="1">
      <alignment/>
      <protection hidden="1"/>
    </xf>
    <xf numFmtId="0" fontId="65" fillId="7" borderId="4" xfId="0" applyFont="1" applyFill="1" applyBorder="1" applyAlignment="1" applyProtection="1">
      <alignment horizontal="center" wrapText="1"/>
      <protection hidden="1"/>
    </xf>
    <xf numFmtId="3" fontId="67" fillId="7" borderId="4" xfId="0" applyNumberFormat="1" applyFont="1" applyFill="1" applyBorder="1" applyAlignment="1" applyProtection="1">
      <alignment horizontal="center" wrapText="1"/>
      <protection hidden="1"/>
    </xf>
    <xf numFmtId="0" fontId="61" fillId="4" borderId="0" xfId="0" applyFont="1" applyFill="1" applyAlignment="1">
      <alignment/>
    </xf>
    <xf numFmtId="0" fontId="68" fillId="5" borderId="19" xfId="0" applyFont="1" applyFill="1" applyBorder="1" applyAlignment="1">
      <alignment horizontal="centerContinuous" vertical="top"/>
    </xf>
    <xf numFmtId="0" fontId="59" fillId="4" borderId="0" xfId="0" applyFont="1" applyFill="1" applyAlignment="1">
      <alignment/>
    </xf>
    <xf numFmtId="0" fontId="70" fillId="4" borderId="0" xfId="0" applyFont="1" applyFill="1" applyAlignment="1">
      <alignment/>
    </xf>
    <xf numFmtId="0" fontId="73" fillId="4" borderId="0" xfId="0" applyFont="1" applyFill="1" applyAlignment="1">
      <alignment/>
    </xf>
    <xf numFmtId="0" fontId="74" fillId="2" borderId="20" xfId="0" applyFont="1" applyFill="1" applyBorder="1" applyAlignment="1" applyProtection="1">
      <alignment horizontal="left" wrapText="1"/>
      <protection hidden="1"/>
    </xf>
    <xf numFmtId="3" fontId="82" fillId="3" borderId="1" xfId="0" applyNumberFormat="1" applyFont="1" applyFill="1" applyBorder="1" applyAlignment="1" applyProtection="1">
      <alignment horizontal="center"/>
      <protection hidden="1"/>
    </xf>
    <xf numFmtId="0" fontId="58" fillId="3" borderId="1" xfId="0" applyFont="1" applyFill="1" applyBorder="1" applyAlignment="1" applyProtection="1">
      <alignment/>
      <protection hidden="1"/>
    </xf>
    <xf numFmtId="0" fontId="58" fillId="3" borderId="1" xfId="0" applyFont="1" applyFill="1" applyBorder="1" applyAlignment="1" applyProtection="1">
      <alignment horizontal="center"/>
      <protection hidden="1"/>
    </xf>
    <xf numFmtId="3" fontId="29" fillId="2" borderId="13" xfId="0" applyNumberFormat="1" applyFont="1" applyFill="1" applyBorder="1" applyAlignment="1" applyProtection="1">
      <alignment/>
      <protection locked="0"/>
    </xf>
    <xf numFmtId="3" fontId="29" fillId="2" borderId="12" xfId="0" applyNumberFormat="1" applyFont="1" applyFill="1" applyBorder="1" applyAlignment="1" applyProtection="1">
      <alignment/>
      <protection locked="0"/>
    </xf>
    <xf numFmtId="3" fontId="29" fillId="2" borderId="15" xfId="0" applyNumberFormat="1" applyFont="1" applyFill="1" applyBorder="1" applyAlignment="1" applyProtection="1">
      <alignment/>
      <protection locked="0"/>
    </xf>
    <xf numFmtId="3" fontId="88" fillId="3" borderId="1" xfId="0" applyNumberFormat="1" applyFont="1" applyFill="1" applyBorder="1" applyAlignment="1" applyProtection="1">
      <alignment horizontal="center"/>
      <protection hidden="1"/>
    </xf>
    <xf numFmtId="0" fontId="0" fillId="4" borderId="0" xfId="0" applyFill="1" applyAlignment="1">
      <alignment horizontal="left"/>
    </xf>
    <xf numFmtId="0" fontId="57" fillId="4" borderId="0" xfId="0" applyFont="1" applyFill="1" applyAlignment="1" applyProtection="1">
      <alignment horizontal="right"/>
      <protection hidden="1"/>
    </xf>
    <xf numFmtId="4" fontId="29" fillId="2" borderId="0" xfId="0" applyNumberFormat="1" applyFont="1" applyFill="1" applyBorder="1" applyAlignment="1" applyProtection="1">
      <alignment/>
      <protection hidden="1"/>
    </xf>
    <xf numFmtId="2" fontId="30" fillId="4" borderId="0" xfId="0" applyNumberFormat="1" applyFont="1" applyFill="1" applyBorder="1" applyAlignment="1" applyProtection="1">
      <alignment/>
      <protection hidden="1"/>
    </xf>
    <xf numFmtId="2" fontId="29" fillId="2" borderId="0" xfId="0" applyNumberFormat="1" applyFont="1" applyFill="1" applyBorder="1" applyAlignment="1" applyProtection="1">
      <alignment/>
      <protection hidden="1"/>
    </xf>
    <xf numFmtId="2" fontId="29" fillId="2" borderId="13" xfId="0" applyNumberFormat="1" applyFont="1" applyFill="1" applyBorder="1" applyAlignment="1" applyProtection="1">
      <alignment/>
      <protection hidden="1"/>
    </xf>
    <xf numFmtId="4" fontId="30" fillId="4" borderId="0" xfId="0" applyNumberFormat="1" applyFont="1" applyFill="1" applyBorder="1" applyAlignment="1" applyProtection="1">
      <alignment/>
      <protection hidden="1"/>
    </xf>
    <xf numFmtId="2" fontId="7" fillId="4" borderId="0" xfId="0" applyNumberFormat="1" applyFont="1" applyFill="1" applyBorder="1" applyAlignment="1" applyProtection="1">
      <alignment/>
      <protection locked="0"/>
    </xf>
    <xf numFmtId="4" fontId="7" fillId="4" borderId="0" xfId="0" applyNumberFormat="1" applyFont="1" applyFill="1" applyAlignment="1" applyProtection="1">
      <alignment/>
      <protection locked="0"/>
    </xf>
    <xf numFmtId="4" fontId="7" fillId="4" borderId="0" xfId="0" applyNumberFormat="1" applyFont="1" applyFill="1" applyAlignment="1" applyProtection="1">
      <alignment/>
      <protection hidden="1" locked="0"/>
    </xf>
    <xf numFmtId="2" fontId="0" fillId="6" borderId="10" xfId="0" applyNumberFormat="1" applyFill="1" applyBorder="1" applyAlignment="1" applyProtection="1">
      <alignment/>
      <protection locked="0"/>
    </xf>
    <xf numFmtId="2" fontId="0" fillId="4" borderId="0" xfId="0" applyNumberFormat="1" applyFill="1" applyAlignment="1" applyProtection="1">
      <alignment/>
      <protection hidden="1"/>
    </xf>
    <xf numFmtId="2" fontId="1" fillId="4" borderId="21" xfId="0" applyNumberFormat="1" applyFont="1" applyFill="1" applyBorder="1" applyAlignment="1" applyProtection="1">
      <alignment horizontal="right"/>
      <protection hidden="1"/>
    </xf>
    <xf numFmtId="0" fontId="0" fillId="6" borderId="10" xfId="0" applyNumberFormat="1" applyFill="1" applyBorder="1" applyAlignment="1" applyProtection="1">
      <alignment/>
      <protection locked="0"/>
    </xf>
    <xf numFmtId="0" fontId="0" fillId="6" borderId="22" xfId="0" applyNumberFormat="1" applyFill="1" applyBorder="1" applyAlignment="1" applyProtection="1">
      <alignment/>
      <protection locked="0"/>
    </xf>
    <xf numFmtId="3" fontId="85" fillId="8" borderId="0" xfId="0" applyNumberFormat="1" applyFont="1" applyFill="1" applyAlignment="1" applyProtection="1">
      <alignment horizontal="right"/>
      <protection hidden="1"/>
    </xf>
    <xf numFmtId="4" fontId="80" fillId="8" borderId="0" xfId="0" applyNumberFormat="1" applyFont="1" applyFill="1" applyAlignment="1" applyProtection="1">
      <alignment/>
      <protection hidden="1"/>
    </xf>
    <xf numFmtId="0" fontId="80" fillId="8" borderId="0" xfId="0" applyFont="1" applyFill="1" applyAlignment="1" applyProtection="1">
      <alignment/>
      <protection hidden="1"/>
    </xf>
    <xf numFmtId="3" fontId="80" fillId="8" borderId="0" xfId="0" applyNumberFormat="1" applyFont="1" applyFill="1" applyAlignment="1" applyProtection="1">
      <alignment horizontal="right"/>
      <protection hidden="1"/>
    </xf>
    <xf numFmtId="3" fontId="0" fillId="8" borderId="0" xfId="0" applyNumberFormat="1" applyFill="1" applyAlignment="1" applyProtection="1">
      <alignment/>
      <protection hidden="1"/>
    </xf>
    <xf numFmtId="0" fontId="0" fillId="8" borderId="0" xfId="0" applyFill="1" applyAlignment="1">
      <alignment/>
    </xf>
    <xf numFmtId="0" fontId="0" fillId="8" borderId="0" xfId="0" applyFill="1" applyAlignment="1" applyProtection="1">
      <alignment/>
      <protection hidden="1"/>
    </xf>
    <xf numFmtId="4" fontId="80" fillId="8" borderId="0" xfId="0" applyNumberFormat="1" applyFont="1" applyFill="1" applyAlignment="1" applyProtection="1">
      <alignment horizontal="right"/>
      <protection hidden="1"/>
    </xf>
    <xf numFmtId="10" fontId="86" fillId="8" borderId="0" xfId="0" applyNumberFormat="1" applyFont="1" applyFill="1" applyAlignment="1" applyProtection="1">
      <alignment/>
      <protection hidden="1"/>
    </xf>
    <xf numFmtId="3" fontId="86" fillId="8" borderId="0" xfId="0" applyNumberFormat="1" applyFont="1" applyFill="1" applyAlignment="1" applyProtection="1">
      <alignment/>
      <protection hidden="1"/>
    </xf>
    <xf numFmtId="3" fontId="8" fillId="8" borderId="0" xfId="0" applyNumberFormat="1" applyFont="1" applyFill="1" applyAlignment="1" applyProtection="1">
      <alignment/>
      <protection hidden="1"/>
    </xf>
    <xf numFmtId="3" fontId="85" fillId="8" borderId="0" xfId="0" applyNumberFormat="1" applyFont="1" applyFill="1" applyBorder="1" applyAlignment="1" applyProtection="1">
      <alignment horizontal="right"/>
      <protection hidden="1"/>
    </xf>
    <xf numFmtId="4" fontId="80" fillId="8" borderId="0" xfId="0" applyNumberFormat="1" applyFont="1" applyFill="1" applyBorder="1" applyAlignment="1" applyProtection="1">
      <alignment/>
      <protection hidden="1"/>
    </xf>
    <xf numFmtId="10" fontId="86" fillId="8" borderId="0" xfId="0" applyNumberFormat="1" applyFont="1" applyFill="1" applyBorder="1" applyAlignment="1" applyProtection="1">
      <alignment/>
      <protection hidden="1"/>
    </xf>
    <xf numFmtId="3" fontId="86" fillId="8" borderId="0" xfId="0" applyNumberFormat="1" applyFont="1" applyFill="1" applyBorder="1" applyAlignment="1" applyProtection="1">
      <alignment/>
      <protection hidden="1"/>
    </xf>
    <xf numFmtId="2" fontId="85" fillId="8" borderId="0" xfId="17" applyNumberFormat="1" applyFont="1" applyFill="1" applyBorder="1" applyAlignment="1" applyProtection="1">
      <alignment horizontal="right"/>
      <protection hidden="1"/>
    </xf>
    <xf numFmtId="3" fontId="86" fillId="8" borderId="0" xfId="0" applyNumberFormat="1" applyFont="1" applyFill="1" applyAlignment="1" applyProtection="1">
      <alignment horizontal="right"/>
      <protection hidden="1"/>
    </xf>
    <xf numFmtId="0" fontId="86" fillId="8" borderId="0" xfId="0" applyFont="1" applyFill="1" applyAlignment="1" applyProtection="1">
      <alignment/>
      <protection hidden="1"/>
    </xf>
    <xf numFmtId="2" fontId="15" fillId="8" borderId="0" xfId="17" applyNumberFormat="1" applyFont="1" applyFill="1" applyAlignment="1" applyProtection="1">
      <alignment horizontal="right"/>
      <protection hidden="1"/>
    </xf>
    <xf numFmtId="184" fontId="15" fillId="8" borderId="0" xfId="17" applyNumberFormat="1" applyFont="1" applyFill="1" applyAlignment="1" applyProtection="1">
      <alignment/>
      <protection hidden="1"/>
    </xf>
    <xf numFmtId="3" fontId="13" fillId="8" borderId="0" xfId="0" applyNumberFormat="1" applyFont="1" applyFill="1" applyAlignment="1" applyProtection="1">
      <alignment/>
      <protection hidden="1"/>
    </xf>
    <xf numFmtId="3" fontId="80" fillId="8" borderId="0" xfId="0" applyNumberFormat="1" applyFont="1" applyFill="1" applyBorder="1" applyAlignment="1" applyProtection="1">
      <alignment/>
      <protection hidden="1"/>
    </xf>
    <xf numFmtId="0" fontId="85" fillId="8" borderId="0" xfId="0" applyFont="1" applyFill="1" applyBorder="1" applyAlignment="1" applyProtection="1">
      <alignment horizontal="right"/>
      <protection hidden="1"/>
    </xf>
    <xf numFmtId="2" fontId="87" fillId="8" borderId="0" xfId="17" applyNumberFormat="1" applyFont="1" applyFill="1" applyAlignment="1" applyProtection="1">
      <alignment horizontal="right"/>
      <protection hidden="1"/>
    </xf>
    <xf numFmtId="3" fontId="86" fillId="8" borderId="0" xfId="0" applyNumberFormat="1" applyFont="1" applyFill="1" applyAlignment="1" applyProtection="1">
      <alignment/>
      <protection hidden="1"/>
    </xf>
    <xf numFmtId="0" fontId="11" fillId="8" borderId="0" xfId="0" applyFont="1" applyFill="1" applyAlignment="1" applyProtection="1">
      <alignment horizontal="right"/>
      <protection hidden="1"/>
    </xf>
    <xf numFmtId="3" fontId="12" fillId="8" borderId="0" xfId="0" applyNumberFormat="1" applyFont="1" applyFill="1" applyAlignment="1" applyProtection="1">
      <alignment/>
      <protection hidden="1"/>
    </xf>
    <xf numFmtId="0" fontId="13" fillId="8" borderId="0" xfId="0" applyFont="1" applyFill="1" applyAlignment="1" applyProtection="1">
      <alignment/>
      <protection hidden="1"/>
    </xf>
    <xf numFmtId="2" fontId="11" fillId="8" borderId="0" xfId="17" applyNumberFormat="1" applyFont="1" applyFill="1" applyAlignment="1" applyProtection="1">
      <alignment horizontal="right"/>
      <protection hidden="1"/>
    </xf>
    <xf numFmtId="3" fontId="12" fillId="8" borderId="0" xfId="17" applyNumberFormat="1" applyFont="1" applyFill="1" applyAlignment="1" applyProtection="1">
      <alignment/>
      <protection hidden="1"/>
    </xf>
    <xf numFmtId="0" fontId="45" fillId="8" borderId="0" xfId="0" applyFont="1" applyFill="1" applyAlignment="1" applyProtection="1">
      <alignment/>
      <protection hidden="1"/>
    </xf>
    <xf numFmtId="10" fontId="12" fillId="8" borderId="0" xfId="0" applyNumberFormat="1" applyFont="1" applyFill="1" applyAlignment="1" applyProtection="1">
      <alignment/>
      <protection hidden="1"/>
    </xf>
    <xf numFmtId="0" fontId="79" fillId="8" borderId="0" xfId="0" applyFont="1" applyFill="1" applyBorder="1" applyAlignment="1" applyProtection="1">
      <alignment horizontal="center"/>
      <protection hidden="1"/>
    </xf>
    <xf numFmtId="3" fontId="18" fillId="8" borderId="0" xfId="0" applyNumberFormat="1" applyFont="1" applyFill="1" applyBorder="1" applyAlignment="1" applyProtection="1">
      <alignment horizontal="right"/>
      <protection hidden="1"/>
    </xf>
    <xf numFmtId="0" fontId="17" fillId="8" borderId="0" xfId="0" applyFont="1" applyFill="1" applyBorder="1" applyAlignment="1" applyProtection="1">
      <alignment/>
      <protection hidden="1"/>
    </xf>
    <xf numFmtId="0" fontId="4" fillId="8" borderId="0" xfId="0" applyFont="1" applyFill="1" applyAlignment="1" applyProtection="1">
      <alignment horizontal="right"/>
      <protection hidden="1"/>
    </xf>
    <xf numFmtId="4" fontId="80" fillId="8" borderId="0" xfId="17" applyNumberFormat="1" applyFont="1" applyFill="1" applyBorder="1" applyAlignment="1" applyProtection="1">
      <alignment/>
      <protection hidden="1"/>
    </xf>
    <xf numFmtId="4" fontId="0" fillId="8" borderId="0" xfId="0" applyNumberFormat="1" applyFill="1" applyAlignment="1">
      <alignment/>
    </xf>
    <xf numFmtId="3" fontId="0" fillId="8" borderId="0" xfId="0" applyNumberFormat="1" applyFill="1" applyAlignment="1">
      <alignment/>
    </xf>
    <xf numFmtId="3" fontId="5" fillId="8" borderId="0" xfId="0" applyNumberFormat="1" applyFont="1" applyFill="1" applyBorder="1" applyAlignment="1" applyProtection="1">
      <alignment/>
      <protection hidden="1"/>
    </xf>
    <xf numFmtId="3" fontId="4" fillId="8" borderId="0" xfId="0" applyNumberFormat="1" applyFont="1" applyFill="1" applyAlignment="1" applyProtection="1">
      <alignment horizontal="right"/>
      <protection hidden="1"/>
    </xf>
    <xf numFmtId="4" fontId="80" fillId="8" borderId="0" xfId="0" applyNumberFormat="1" applyFont="1" applyFill="1" applyBorder="1" applyAlignment="1" applyProtection="1">
      <alignment/>
      <protection hidden="1"/>
    </xf>
    <xf numFmtId="3" fontId="0" fillId="8" borderId="0" xfId="0" applyNumberFormat="1" applyFill="1" applyAlignment="1">
      <alignment/>
    </xf>
    <xf numFmtId="0" fontId="0" fillId="8" borderId="0" xfId="0" applyFill="1" applyAlignment="1">
      <alignment/>
    </xf>
    <xf numFmtId="0" fontId="0" fillId="8" borderId="0" xfId="0" applyFill="1" applyAlignment="1" applyProtection="1">
      <alignment/>
      <protection hidden="1"/>
    </xf>
    <xf numFmtId="0" fontId="18" fillId="8" borderId="0" xfId="0" applyFont="1" applyFill="1" applyBorder="1" applyAlignment="1" applyProtection="1">
      <alignment horizontal="right"/>
      <protection hidden="1"/>
    </xf>
    <xf numFmtId="2" fontId="18" fillId="8" borderId="0" xfId="17" applyNumberFormat="1" applyFont="1" applyFill="1" applyBorder="1" applyAlignment="1" applyProtection="1">
      <alignment horizontal="right"/>
      <protection hidden="1"/>
    </xf>
    <xf numFmtId="0" fontId="4" fillId="8" borderId="0" xfId="0" applyFont="1" applyFill="1" applyBorder="1" applyAlignment="1" applyProtection="1">
      <alignment horizontal="right"/>
      <protection hidden="1"/>
    </xf>
    <xf numFmtId="4" fontId="80" fillId="8" borderId="0" xfId="17" applyNumberFormat="1" applyFont="1" applyFill="1" applyBorder="1" applyAlignment="1" applyProtection="1">
      <alignment/>
      <protection hidden="1"/>
    </xf>
    <xf numFmtId="10" fontId="4" fillId="8" borderId="0" xfId="0" applyNumberFormat="1" applyFont="1" applyFill="1" applyAlignment="1" applyProtection="1">
      <alignment horizontal="right"/>
      <protection hidden="1"/>
    </xf>
    <xf numFmtId="3" fontId="80" fillId="8" borderId="0" xfId="17" applyNumberFormat="1" applyFont="1" applyFill="1" applyBorder="1" applyAlignment="1" applyProtection="1">
      <alignment/>
      <protection hidden="1"/>
    </xf>
    <xf numFmtId="1" fontId="18" fillId="8" borderId="0" xfId="17" applyNumberFormat="1" applyFont="1" applyFill="1" applyBorder="1" applyAlignment="1" applyProtection="1">
      <alignment horizontal="right"/>
      <protection hidden="1"/>
    </xf>
    <xf numFmtId="3" fontId="5" fillId="8" borderId="0" xfId="17" applyNumberFormat="1" applyFont="1" applyFill="1" applyBorder="1" applyAlignment="1" applyProtection="1">
      <alignment/>
      <protection hidden="1"/>
    </xf>
    <xf numFmtId="1" fontId="5" fillId="8" borderId="0" xfId="17" applyNumberFormat="1" applyFont="1" applyFill="1" applyAlignment="1" applyProtection="1">
      <alignment/>
      <protection hidden="1"/>
    </xf>
    <xf numFmtId="0" fontId="77" fillId="8" borderId="0" xfId="0" applyFont="1" applyFill="1" applyAlignment="1">
      <alignment/>
    </xf>
    <xf numFmtId="3" fontId="23" fillId="8" borderId="0" xfId="0" applyNumberFormat="1" applyFont="1" applyFill="1" applyAlignment="1" applyProtection="1">
      <alignment horizontal="right"/>
      <protection hidden="1"/>
    </xf>
    <xf numFmtId="10" fontId="23" fillId="8" borderId="0" xfId="0" applyNumberFormat="1" applyFont="1" applyFill="1" applyAlignment="1" applyProtection="1">
      <alignment/>
      <protection hidden="1"/>
    </xf>
    <xf numFmtId="0" fontId="25" fillId="8" borderId="0" xfId="0" applyFont="1" applyFill="1" applyAlignment="1" applyProtection="1">
      <alignment/>
      <protection hidden="1"/>
    </xf>
    <xf numFmtId="2" fontId="22" fillId="8" borderId="0" xfId="17" applyNumberFormat="1" applyFont="1" applyFill="1" applyAlignment="1" applyProtection="1">
      <alignment horizontal="right"/>
      <protection hidden="1"/>
    </xf>
    <xf numFmtId="10" fontId="22" fillId="8" borderId="0" xfId="0" applyNumberFormat="1" applyFont="1" applyFill="1" applyAlignment="1" applyProtection="1">
      <alignment/>
      <protection hidden="1"/>
    </xf>
    <xf numFmtId="0" fontId="21" fillId="8" borderId="0" xfId="0" applyFont="1" applyFill="1" applyAlignment="1" applyProtection="1">
      <alignment/>
      <protection hidden="1"/>
    </xf>
    <xf numFmtId="3" fontId="10" fillId="8" borderId="0" xfId="0" applyNumberFormat="1" applyFont="1" applyFill="1" applyAlignment="1" applyProtection="1">
      <alignment horizontal="right"/>
      <protection hidden="1"/>
    </xf>
    <xf numFmtId="10" fontId="10" fillId="8" borderId="0" xfId="0" applyNumberFormat="1" applyFont="1" applyFill="1" applyAlignment="1" applyProtection="1">
      <alignment/>
      <protection hidden="1"/>
    </xf>
    <xf numFmtId="0" fontId="14" fillId="8" borderId="0" xfId="0" applyFont="1" applyFill="1" applyAlignment="1" applyProtection="1">
      <alignment/>
      <protection hidden="1"/>
    </xf>
    <xf numFmtId="0" fontId="26" fillId="8" borderId="0" xfId="0" applyFont="1" applyFill="1" applyAlignment="1" applyProtection="1">
      <alignment horizontal="right"/>
      <protection hidden="1"/>
    </xf>
    <xf numFmtId="10" fontId="26" fillId="8" borderId="0" xfId="0" applyNumberFormat="1" applyFont="1" applyFill="1" applyAlignment="1" applyProtection="1">
      <alignment/>
      <protection hidden="1"/>
    </xf>
    <xf numFmtId="0" fontId="27" fillId="8" borderId="0" xfId="0" applyFont="1" applyFill="1" applyAlignment="1" applyProtection="1">
      <alignment/>
      <protection hidden="1"/>
    </xf>
    <xf numFmtId="1" fontId="7" fillId="8" borderId="0" xfId="17" applyNumberFormat="1" applyFont="1" applyFill="1" applyAlignment="1" applyProtection="1">
      <alignment horizontal="right"/>
      <protection hidden="1"/>
    </xf>
    <xf numFmtId="10" fontId="28" fillId="8" borderId="0" xfId="0" applyNumberFormat="1" applyFont="1" applyFill="1" applyAlignment="1" applyProtection="1">
      <alignment/>
      <protection hidden="1"/>
    </xf>
    <xf numFmtId="0" fontId="19" fillId="8" borderId="0" xfId="0" applyFont="1" applyFill="1" applyAlignment="1" applyProtection="1">
      <alignment/>
      <protection hidden="1"/>
    </xf>
    <xf numFmtId="0" fontId="61" fillId="8" borderId="0" xfId="0" applyFont="1" applyFill="1" applyAlignment="1">
      <alignment/>
    </xf>
    <xf numFmtId="3" fontId="12" fillId="8" borderId="0" xfId="17" applyNumberFormat="1" applyFont="1" applyFill="1" applyAlignment="1" applyProtection="1">
      <alignment/>
      <protection hidden="1" locked="0"/>
    </xf>
    <xf numFmtId="3" fontId="11" fillId="8" borderId="0" xfId="0" applyNumberFormat="1" applyFont="1" applyFill="1" applyAlignment="1" applyProtection="1">
      <alignment horizontal="left"/>
      <protection hidden="1"/>
    </xf>
    <xf numFmtId="3" fontId="58" fillId="8" borderId="0" xfId="0" applyNumberFormat="1" applyFont="1" applyFill="1" applyAlignment="1" applyProtection="1">
      <alignment/>
      <protection hidden="1"/>
    </xf>
    <xf numFmtId="2" fontId="11" fillId="8" borderId="0" xfId="17" applyNumberFormat="1" applyFont="1" applyFill="1" applyAlignment="1" applyProtection="1">
      <alignment horizontal="right"/>
      <protection hidden="1" locked="0"/>
    </xf>
    <xf numFmtId="3" fontId="12" fillId="8" borderId="0" xfId="17" applyNumberFormat="1" applyFont="1" applyFill="1" applyAlignment="1" applyProtection="1">
      <alignment/>
      <protection hidden="1" locked="0"/>
    </xf>
    <xf numFmtId="3" fontId="5" fillId="8" borderId="0" xfId="0" applyNumberFormat="1" applyFont="1" applyFill="1" applyAlignment="1" applyProtection="1">
      <alignment horizontal="right"/>
      <protection hidden="1" locked="0"/>
    </xf>
    <xf numFmtId="3" fontId="5" fillId="8" borderId="0" xfId="0" applyNumberFormat="1" applyFont="1" applyFill="1" applyAlignment="1" applyProtection="1">
      <alignment/>
      <protection hidden="1" locked="0"/>
    </xf>
    <xf numFmtId="10" fontId="8" fillId="8" borderId="0" xfId="0" applyNumberFormat="1" applyFont="1" applyFill="1" applyAlignment="1" applyProtection="1">
      <alignment/>
      <protection hidden="1"/>
    </xf>
    <xf numFmtId="0" fontId="5" fillId="8" borderId="0" xfId="0" applyNumberFormat="1" applyFont="1" applyFill="1" applyAlignment="1" applyProtection="1">
      <alignment/>
      <protection hidden="1" locked="0"/>
    </xf>
    <xf numFmtId="186" fontId="0" fillId="4" borderId="10" xfId="0" applyNumberFormat="1" applyFill="1" applyBorder="1" applyAlignment="1" applyProtection="1">
      <alignment/>
      <protection hidden="1"/>
    </xf>
    <xf numFmtId="186" fontId="0" fillId="4" borderId="3" xfId="0" applyNumberFormat="1" applyFill="1" applyBorder="1" applyAlignment="1" applyProtection="1">
      <alignment/>
      <protection hidden="1"/>
    </xf>
    <xf numFmtId="4" fontId="0" fillId="6" borderId="10" xfId="0" applyNumberFormat="1" applyFill="1" applyBorder="1" applyAlignment="1" applyProtection="1">
      <alignment/>
      <protection locked="0"/>
    </xf>
    <xf numFmtId="4" fontId="0" fillId="6" borderId="10" xfId="0" applyNumberFormat="1" applyFill="1" applyBorder="1" applyAlignment="1">
      <alignment/>
    </xf>
    <xf numFmtId="10" fontId="86" fillId="9" borderId="0" xfId="0" applyNumberFormat="1" applyFont="1" applyFill="1" applyBorder="1" applyAlignment="1" applyProtection="1">
      <alignment/>
      <protection hidden="1"/>
    </xf>
    <xf numFmtId="0" fontId="11" fillId="9" borderId="10" xfId="0" applyFont="1" applyFill="1" applyBorder="1" applyAlignment="1" applyProtection="1">
      <alignment/>
      <protection locked="0"/>
    </xf>
    <xf numFmtId="3" fontId="11" fillId="9" borderId="10" xfId="17" applyNumberFormat="1" applyFont="1" applyFill="1" applyBorder="1" applyAlignment="1" applyProtection="1">
      <alignment horizontal="center"/>
      <protection locked="0"/>
    </xf>
    <xf numFmtId="3" fontId="5" fillId="9" borderId="10" xfId="17" applyNumberFormat="1" applyFont="1" applyFill="1" applyBorder="1" applyAlignment="1" applyProtection="1">
      <alignment/>
      <protection locked="0"/>
    </xf>
    <xf numFmtId="3" fontId="5" fillId="9" borderId="10" xfId="0" applyNumberFormat="1" applyFont="1" applyFill="1" applyBorder="1" applyAlignment="1" applyProtection="1">
      <alignment/>
      <protection locked="0"/>
    </xf>
    <xf numFmtId="3" fontId="5" fillId="9" borderId="10" xfId="17" applyNumberFormat="1" applyFont="1" applyFill="1" applyBorder="1" applyAlignment="1" applyProtection="1">
      <alignment/>
      <protection locked="0"/>
    </xf>
    <xf numFmtId="188" fontId="0" fillId="4" borderId="14" xfId="0" applyNumberFormat="1" applyFill="1" applyBorder="1" applyAlignment="1" applyProtection="1">
      <alignment/>
      <protection hidden="1"/>
    </xf>
    <xf numFmtId="188" fontId="0" fillId="4" borderId="23" xfId="0" applyNumberFormat="1" applyFill="1" applyBorder="1" applyAlignment="1" applyProtection="1">
      <alignment/>
      <protection hidden="1"/>
    </xf>
    <xf numFmtId="188" fontId="0" fillId="4" borderId="11" xfId="0" applyNumberFormat="1" applyFill="1" applyBorder="1" applyAlignment="1" applyProtection="1">
      <alignment/>
      <protection hidden="1"/>
    </xf>
    <xf numFmtId="188" fontId="0" fillId="4" borderId="22" xfId="0" applyNumberFormat="1" applyFill="1" applyBorder="1" applyAlignment="1" applyProtection="1">
      <alignment/>
      <protection hidden="1"/>
    </xf>
    <xf numFmtId="188" fontId="0" fillId="4" borderId="17" xfId="0" applyNumberFormat="1" applyFill="1" applyBorder="1" applyAlignment="1" applyProtection="1">
      <alignment/>
      <protection hidden="1"/>
    </xf>
    <xf numFmtId="188" fontId="1" fillId="4" borderId="24" xfId="0" applyNumberFormat="1" applyFont="1" applyFill="1" applyBorder="1" applyAlignment="1" applyProtection="1">
      <alignment/>
      <protection hidden="1"/>
    </xf>
    <xf numFmtId="188" fontId="1" fillId="4" borderId="14" xfId="0" applyNumberFormat="1" applyFont="1" applyFill="1" applyBorder="1" applyAlignment="1" applyProtection="1">
      <alignment/>
      <protection hidden="1"/>
    </xf>
    <xf numFmtId="188" fontId="0" fillId="4" borderId="24" xfId="0" applyNumberFormat="1" applyFont="1" applyFill="1" applyBorder="1" applyAlignment="1" applyProtection="1">
      <alignment/>
      <protection hidden="1"/>
    </xf>
    <xf numFmtId="4" fontId="30" fillId="4" borderId="0" xfId="0" applyNumberFormat="1" applyFont="1" applyFill="1" applyBorder="1" applyAlignment="1" applyProtection="1">
      <alignment/>
      <protection hidden="1"/>
    </xf>
    <xf numFmtId="3" fontId="24" fillId="3" borderId="1" xfId="0" applyNumberFormat="1" applyFont="1" applyFill="1" applyBorder="1" applyAlignment="1" applyProtection="1">
      <alignment/>
      <protection hidden="1"/>
    </xf>
    <xf numFmtId="3" fontId="9" fillId="3" borderId="1" xfId="0" applyNumberFormat="1" applyFont="1" applyFill="1" applyBorder="1" applyAlignment="1" applyProtection="1">
      <alignment/>
      <protection hidden="1"/>
    </xf>
    <xf numFmtId="2" fontId="30" fillId="4" borderId="0" xfId="0" applyNumberFormat="1" applyFont="1" applyFill="1" applyBorder="1" applyAlignment="1" applyProtection="1">
      <alignment/>
      <protection hidden="1"/>
    </xf>
    <xf numFmtId="3" fontId="20" fillId="3" borderId="1" xfId="0" applyNumberFormat="1" applyFont="1" applyFill="1" applyBorder="1" applyAlignment="1" applyProtection="1">
      <alignment/>
      <protection hidden="1"/>
    </xf>
    <xf numFmtId="3" fontId="5" fillId="3" borderId="1" xfId="0" applyNumberFormat="1" applyFont="1" applyFill="1" applyBorder="1" applyAlignment="1" applyProtection="1">
      <alignment/>
      <protection hidden="1"/>
    </xf>
    <xf numFmtId="3" fontId="10" fillId="3" borderId="1" xfId="0" applyNumberFormat="1" applyFont="1" applyFill="1" applyBorder="1" applyAlignment="1" applyProtection="1">
      <alignment horizontal="center"/>
      <protection hidden="1"/>
    </xf>
    <xf numFmtId="0" fontId="28" fillId="0" borderId="0" xfId="0" applyFont="1" applyAlignment="1" applyProtection="1">
      <alignment/>
      <protection hidden="1"/>
    </xf>
    <xf numFmtId="2" fontId="7" fillId="0" borderId="0" xfId="0" applyNumberFormat="1" applyFont="1" applyAlignment="1" applyProtection="1">
      <alignment/>
      <protection hidden="1"/>
    </xf>
    <xf numFmtId="0" fontId="7" fillId="0" borderId="0" xfId="0" applyFont="1" applyAlignment="1" applyProtection="1">
      <alignment/>
      <protection hidden="1"/>
    </xf>
    <xf numFmtId="3" fontId="28" fillId="0" borderId="0" xfId="0" applyNumberFormat="1" applyFont="1" applyAlignment="1" applyProtection="1">
      <alignment/>
      <protection hidden="1"/>
    </xf>
    <xf numFmtId="4" fontId="0" fillId="0" borderId="0" xfId="0" applyNumberFormat="1" applyBorder="1" applyAlignment="1" applyProtection="1">
      <alignment/>
      <protection hidden="1"/>
    </xf>
    <xf numFmtId="4" fontId="6" fillId="0" borderId="0" xfId="0" applyNumberFormat="1" applyFont="1" applyFill="1" applyBorder="1" applyAlignment="1" applyProtection="1">
      <alignment/>
      <protection hidden="1"/>
    </xf>
    <xf numFmtId="4" fontId="56" fillId="0" borderId="0" xfId="0" applyNumberFormat="1" applyFont="1" applyFill="1" applyBorder="1" applyAlignment="1" applyProtection="1">
      <alignment/>
      <protection hidden="1"/>
    </xf>
    <xf numFmtId="4" fontId="0" fillId="0" borderId="0" xfId="0" applyNumberFormat="1" applyAlignment="1" applyProtection="1">
      <alignment/>
      <protection hidden="1"/>
    </xf>
    <xf numFmtId="4" fontId="0" fillId="0" borderId="0" xfId="0" applyNumberFormat="1" applyAlignment="1">
      <alignment/>
    </xf>
    <xf numFmtId="4" fontId="16" fillId="0" borderId="1" xfId="0" applyNumberFormat="1" applyFont="1" applyFill="1" applyBorder="1" applyAlignment="1" applyProtection="1">
      <alignment/>
      <protection hidden="1"/>
    </xf>
    <xf numFmtId="4" fontId="16" fillId="0" borderId="0" xfId="0" applyNumberFormat="1" applyFont="1" applyFill="1" applyBorder="1" applyAlignment="1" applyProtection="1">
      <alignment/>
      <protection hidden="1"/>
    </xf>
    <xf numFmtId="4" fontId="65" fillId="7" borderId="4" xfId="0" applyNumberFormat="1" applyFont="1" applyFill="1" applyBorder="1" applyAlignment="1" applyProtection="1">
      <alignment/>
      <protection hidden="1"/>
    </xf>
    <xf numFmtId="4" fontId="14" fillId="3" borderId="5" xfId="0" applyNumberFormat="1" applyFont="1" applyFill="1" applyBorder="1" applyAlignment="1" applyProtection="1">
      <alignment horizontal="center"/>
      <protection hidden="1"/>
    </xf>
    <xf numFmtId="4" fontId="14" fillId="3" borderId="5" xfId="0" applyNumberFormat="1" applyFont="1" applyFill="1" applyBorder="1" applyAlignment="1" applyProtection="1">
      <alignment horizontal="right"/>
      <protection hidden="1"/>
    </xf>
    <xf numFmtId="4" fontId="66" fillId="7" borderId="4" xfId="0" applyNumberFormat="1" applyFont="1" applyFill="1" applyBorder="1" applyAlignment="1" applyProtection="1">
      <alignment horizontal="center" wrapText="1"/>
      <protection hidden="1"/>
    </xf>
    <xf numFmtId="4" fontId="67" fillId="7" borderId="6" xfId="0" applyNumberFormat="1" applyFont="1" applyFill="1" applyBorder="1" applyAlignment="1" applyProtection="1">
      <alignment horizontal="center" wrapText="1"/>
      <protection hidden="1"/>
    </xf>
    <xf numFmtId="4" fontId="9" fillId="3" borderId="1" xfId="0" applyNumberFormat="1" applyFont="1" applyFill="1" applyBorder="1" applyAlignment="1" applyProtection="1">
      <alignment horizontal="center"/>
      <protection hidden="1"/>
    </xf>
    <xf numFmtId="4" fontId="14" fillId="3" borderId="1" xfId="0" applyNumberFormat="1" applyFont="1" applyFill="1" applyBorder="1" applyAlignment="1" applyProtection="1">
      <alignment horizontal="left"/>
      <protection hidden="1"/>
    </xf>
    <xf numFmtId="4" fontId="58" fillId="3" borderId="1" xfId="0" applyNumberFormat="1" applyFont="1" applyFill="1" applyBorder="1" applyAlignment="1" applyProtection="1">
      <alignment/>
      <protection hidden="1"/>
    </xf>
    <xf numFmtId="4" fontId="31" fillId="4" borderId="16" xfId="0" applyNumberFormat="1" applyFont="1" applyFill="1" applyBorder="1" applyAlignment="1" applyProtection="1">
      <alignment/>
      <protection hidden="1"/>
    </xf>
    <xf numFmtId="4" fontId="63" fillId="4" borderId="17" xfId="0" applyNumberFormat="1" applyFont="1" applyFill="1" applyBorder="1" applyAlignment="1" applyProtection="1">
      <alignment/>
      <protection hidden="1"/>
    </xf>
    <xf numFmtId="4" fontId="31" fillId="4" borderId="1" xfId="0" applyNumberFormat="1" applyFont="1" applyFill="1" applyBorder="1" applyAlignment="1" applyProtection="1">
      <alignment/>
      <protection hidden="1"/>
    </xf>
    <xf numFmtId="4" fontId="63" fillId="4" borderId="3" xfId="0" applyNumberFormat="1" applyFont="1" applyFill="1" applyBorder="1" applyAlignment="1" applyProtection="1">
      <alignment/>
      <protection hidden="1"/>
    </xf>
    <xf numFmtId="4" fontId="7" fillId="3" borderId="1" xfId="0" applyNumberFormat="1" applyFont="1" applyFill="1" applyBorder="1" applyAlignment="1" applyProtection="1">
      <alignment/>
      <protection hidden="1"/>
    </xf>
    <xf numFmtId="4" fontId="10" fillId="3" borderId="1" xfId="0" applyNumberFormat="1" applyFont="1" applyFill="1" applyBorder="1" applyAlignment="1" applyProtection="1">
      <alignment/>
      <protection hidden="1"/>
    </xf>
    <xf numFmtId="4" fontId="10" fillId="3" borderId="3" xfId="0" applyNumberFormat="1" applyFont="1" applyFill="1" applyBorder="1" applyAlignment="1" applyProtection="1">
      <alignment/>
      <protection hidden="1"/>
    </xf>
  </cellXfs>
  <cellStyles count="8">
    <cellStyle name="Normal" xfId="0"/>
    <cellStyle name="Hyperlink" xfId="15"/>
    <cellStyle name="Followed Hyperlink" xfId="16"/>
    <cellStyle name="Comma" xfId="17"/>
    <cellStyle name="Comma [0]"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05"/>
          <c:y val="0.0575"/>
          <c:w val="0.959"/>
          <c:h val="0.88575"/>
        </c:manualLayout>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dLbls>
            <c:dLbl>
              <c:idx val="18"/>
              <c:delete val="1"/>
            </c:dLbl>
            <c:delete val="1"/>
          </c:dLbls>
          <c:val>
            <c:numRef>
              <c:f>'Punto di Pareggio'!$B$16:$B$36</c:f>
              <c:numCache>
                <c:ptCount val="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val>
          <c:smooth val="0"/>
        </c:ser>
        <c:ser>
          <c:idx val="1"/>
          <c:order val="1"/>
          <c:extLst>
            <c:ext xmlns:c14="http://schemas.microsoft.com/office/drawing/2007/8/2/chart" uri="{6F2FDCE9-48DA-4B69-8628-5D25D57E5C99}">
              <c14:invertSolidFillFmt>
                <c14:spPr>
                  <a:solidFill>
                    <a:srgbClr val="000000"/>
                  </a:solidFill>
                </c14:spPr>
              </c14:invertSolidFillFmt>
            </c:ext>
          </c:extLst>
          <c:marker>
            <c:symbol val="none"/>
          </c:marker>
          <c:val>
            <c:numRef>
              <c:f>'Punto di Pareggio'!$C$16:$C$36</c:f>
              <c:numCache>
                <c:ptCount val="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val>
          <c:smooth val="0"/>
        </c:ser>
        <c:ser>
          <c:idx val="2"/>
          <c:order val="2"/>
          <c:extLst>
            <c:ext xmlns:c14="http://schemas.microsoft.com/office/drawing/2007/8/2/chart" uri="{6F2FDCE9-48DA-4B69-8628-5D25D57E5C99}">
              <c14:invertSolidFillFmt>
                <c14:spPr>
                  <a:solidFill>
                    <a:srgbClr val="000000"/>
                  </a:solidFill>
                </c14:spPr>
              </c14:invertSolidFillFmt>
            </c:ext>
          </c:extLst>
          <c:marker>
            <c:symbol val="none"/>
          </c:marker>
          <c:val>
            <c:numRef>
              <c:f>'Punto di Pareggio'!$D$16:$D$36</c:f>
              <c:numCache>
                <c:ptCount val="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val>
          <c:smooth val="0"/>
        </c:ser>
        <c:ser>
          <c:idx val="3"/>
          <c:order val="3"/>
          <c:extLst>
            <c:ext xmlns:c14="http://schemas.microsoft.com/office/drawing/2007/8/2/chart" uri="{6F2FDCE9-48DA-4B69-8628-5D25D57E5C99}">
              <c14:invertSolidFillFmt>
                <c14:spPr>
                  <a:solidFill>
                    <a:srgbClr val="000000"/>
                  </a:solidFill>
                </c14:spPr>
              </c14:invertSolidFillFmt>
            </c:ext>
          </c:extLst>
          <c:marker>
            <c:symbol val="none"/>
          </c:marker>
          <c:val>
            <c:numRef>
              <c:f>'Punto di Pareggio'!$E$16:$E$36</c:f>
              <c:numCache>
                <c:ptCount val="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val>
          <c:smooth val="0"/>
        </c:ser>
        <c:ser>
          <c:idx val="4"/>
          <c:order val="4"/>
          <c:extLst>
            <c:ext xmlns:c14="http://schemas.microsoft.com/office/drawing/2007/8/2/chart" uri="{6F2FDCE9-48DA-4B69-8628-5D25D57E5C99}">
              <c14:invertSolidFillFmt>
                <c14:spPr>
                  <a:solidFill>
                    <a:srgbClr val="000000"/>
                  </a:solidFill>
                </c14:spPr>
              </c14:invertSolidFillFmt>
            </c:ext>
          </c:extLst>
          <c:marker>
            <c:symbol val="none"/>
          </c:marker>
          <c:val>
            <c:numRef>
              <c:f>'Punto di Pareggio'!$F$16:$F$36</c:f>
              <c:numCache>
                <c:ptCount val="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val>
          <c:smooth val="0"/>
        </c:ser>
        <c:axId val="26232783"/>
        <c:axId val="34768456"/>
      </c:lineChart>
      <c:catAx>
        <c:axId val="26232783"/>
        <c:scaling>
          <c:orientation val="minMax"/>
        </c:scaling>
        <c:axPos val="b"/>
        <c:delete val="0"/>
        <c:numFmt formatCode="General" sourceLinked="1"/>
        <c:majorTickMark val="in"/>
        <c:minorTickMark val="none"/>
        <c:tickLblPos val="nextTo"/>
        <c:crossAx val="34768456"/>
        <c:crosses val="autoZero"/>
        <c:auto val="0"/>
        <c:lblOffset val="100"/>
        <c:noMultiLvlLbl val="0"/>
      </c:catAx>
      <c:valAx>
        <c:axId val="34768456"/>
        <c:scaling>
          <c:orientation val="minMax"/>
        </c:scaling>
        <c:axPos val="l"/>
        <c:delete val="0"/>
        <c:numFmt formatCode="General" sourceLinked="1"/>
        <c:majorTickMark val="in"/>
        <c:minorTickMark val="none"/>
        <c:tickLblPos val="nextTo"/>
        <c:crossAx val="26232783"/>
        <c:crossesAt val="1"/>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900" b="0" i="0" u="none" baseline="0">
          <a:latin typeface="Geneva"/>
          <a:ea typeface="Geneva"/>
          <a:cs typeface="Geneva"/>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45"/>
          <c:y val="0.03"/>
          <c:w val="0.971"/>
          <c:h val="0.94075"/>
        </c:manualLayout>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strRef>
              <c:f>Statistiche!$B$7:$B$27</c:f>
              <c:strCache>
                <c:ptCount val="21"/>
                <c:pt idx="0">
                  <c:v>Ricavi 1990</c:v>
                </c:pt>
                <c:pt idx="1">
                  <c:v>Ricavi 1991</c:v>
                </c:pt>
                <c:pt idx="2">
                  <c:v>Ricavi 1992</c:v>
                </c:pt>
                <c:pt idx="3">
                  <c:v>Ricavi 1993</c:v>
                </c:pt>
                <c:pt idx="4">
                  <c:v>Ricavi 1994</c:v>
                </c:pt>
                <c:pt idx="5">
                  <c:v>Ricavi 1995</c:v>
                </c:pt>
                <c:pt idx="6">
                  <c:v>Ricavi 1996</c:v>
                </c:pt>
                <c:pt idx="7">
                  <c:v>Ricavi 1997</c:v>
                </c:pt>
                <c:pt idx="8">
                  <c:v>Ricavi 1998</c:v>
                </c:pt>
                <c:pt idx="9">
                  <c:v>Ricavi 1999</c:v>
                </c:pt>
                <c:pt idx="10">
                  <c:v>Ricavi 2000</c:v>
                </c:pt>
                <c:pt idx="11">
                  <c:v>Ricavi 2001</c:v>
                </c:pt>
              </c:strCache>
            </c:strRef>
          </c:cat>
          <c:val>
            <c:numRef>
              <c:f>Statistiche!$C$7:$C$27</c:f>
              <c:numCache>
                <c:ptCount val="21"/>
                <c:pt idx="0">
                  <c:v>979.71</c:v>
                </c:pt>
                <c:pt idx="1">
                  <c:v>1031.12</c:v>
                </c:pt>
                <c:pt idx="2">
                  <c:v>1342.08</c:v>
                </c:pt>
                <c:pt idx="3">
                  <c:v>1086.47</c:v>
                </c:pt>
                <c:pt idx="4">
                  <c:v>1032.15</c:v>
                </c:pt>
                <c:pt idx="5">
                  <c:v>933</c:v>
                </c:pt>
                <c:pt idx="6">
                  <c:v>1095.53</c:v>
                </c:pt>
                <c:pt idx="7">
                  <c:v>965.54</c:v>
                </c:pt>
                <c:pt idx="8">
                  <c:v>1113.99</c:v>
                </c:pt>
                <c:pt idx="9">
                  <c:v>1206.29</c:v>
                </c:pt>
                <c:pt idx="10">
                  <c:v>1326.64</c:v>
                </c:pt>
                <c:pt idx="11">
                  <c:v>1527.05</c:v>
                </c:pt>
              </c:numCache>
            </c:numRef>
          </c:val>
        </c:ser>
        <c:axId val="44480649"/>
        <c:axId val="64781522"/>
      </c:barChart>
      <c:catAx>
        <c:axId val="44480649"/>
        <c:scaling>
          <c:orientation val="minMax"/>
        </c:scaling>
        <c:axPos val="b"/>
        <c:delete val="0"/>
        <c:numFmt formatCode="General" sourceLinked="1"/>
        <c:majorTickMark val="in"/>
        <c:minorTickMark val="none"/>
        <c:tickLblPos val="nextTo"/>
        <c:crossAx val="64781522"/>
        <c:crosses val="autoZero"/>
        <c:auto val="0"/>
        <c:lblOffset val="100"/>
        <c:noMultiLvlLbl val="0"/>
      </c:catAx>
      <c:valAx>
        <c:axId val="64781522"/>
        <c:scaling>
          <c:orientation val="minMax"/>
        </c:scaling>
        <c:axPos val="l"/>
        <c:majorGridlines/>
        <c:delete val="0"/>
        <c:numFmt formatCode="General" sourceLinked="1"/>
        <c:majorTickMark val="out"/>
        <c:minorTickMark val="none"/>
        <c:tickLblPos val="nextTo"/>
        <c:crossAx val="44480649"/>
        <c:crossesAt val="1"/>
        <c:crossBetween val="between"/>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900" b="0" i="0" u="none" baseline="0">
          <a:latin typeface="Geneva"/>
          <a:ea typeface="Geneva"/>
          <a:cs typeface="Geneva"/>
        </a:defRPr>
      </a:pPr>
    </a:p>
  </c:txPr>
  <c:date1904 val="1"/>
</chartSpace>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142875</xdr:colOff>
      <xdr:row>5</xdr:row>
      <xdr:rowOff>0</xdr:rowOff>
    </xdr:from>
    <xdr:to>
      <xdr:col>9</xdr:col>
      <xdr:colOff>657225</xdr:colOff>
      <xdr:row>7</xdr:row>
      <xdr:rowOff>47625</xdr:rowOff>
    </xdr:to>
    <xdr:sp>
      <xdr:nvSpPr>
        <xdr:cNvPr id="1" name="Testo 1"/>
        <xdr:cNvSpPr txBox="1">
          <a:spLocks noChangeArrowheads="1"/>
        </xdr:cNvSpPr>
      </xdr:nvSpPr>
      <xdr:spPr>
        <a:xfrm>
          <a:off x="1409700" y="1047750"/>
          <a:ext cx="5524500" cy="37147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t>Attenzione: Per iniziare e procedere correttamente nell'utilizzo del prontuario è necessario 'cliccare' sul pulsante 'Registrazione' </a:t>
          </a:r>
        </a:p>
      </xdr:txBody>
    </xdr:sp>
    <xdr:clientData/>
  </xdr:twoCellAnchor>
  <xdr:twoCellAnchor>
    <xdr:from>
      <xdr:col>1</xdr:col>
      <xdr:colOff>228600</xdr:colOff>
      <xdr:row>12</xdr:row>
      <xdr:rowOff>66675</xdr:rowOff>
    </xdr:from>
    <xdr:to>
      <xdr:col>11</xdr:col>
      <xdr:colOff>504825</xdr:colOff>
      <xdr:row>40</xdr:row>
      <xdr:rowOff>66675</xdr:rowOff>
    </xdr:to>
    <xdr:sp>
      <xdr:nvSpPr>
        <xdr:cNvPr id="2" name="Testo 9"/>
        <xdr:cNvSpPr txBox="1">
          <a:spLocks noChangeArrowheads="1"/>
        </xdr:cNvSpPr>
      </xdr:nvSpPr>
      <xdr:spPr>
        <a:xfrm>
          <a:off x="514350" y="2247900"/>
          <a:ext cx="8001000" cy="45339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400" b="1" i="0" u="none" baseline="0">
              <a:latin typeface="Geneva"/>
              <a:ea typeface="Geneva"/>
              <a:cs typeface="Geneva"/>
            </a:rPr>
            <a:t>Istruzioni
</a:t>
          </a:r>
          <a:r>
            <a:rPr lang="en-US" cap="none" sz="800" b="0" i="0" u="none" baseline="0">
              <a:latin typeface="Arial"/>
              <a:ea typeface="Arial"/>
              <a:cs typeface="Arial"/>
            </a:rPr>
            <a:t>
La procedura si compone di sei moduli con nome: Prontuario, Valori, Formazione Prezzo, Analisi di Bilancio, Studio di Settore e Statistiche, più questo modulo di Istruzioni. Si fa presente che la procedura funziona solo dopo la registrazione.
Modulo </a:t>
          </a:r>
          <a:r>
            <a:rPr lang="en-US" cap="none" sz="800" b="1" i="0" u="none" baseline="0">
              <a:latin typeface="Arial"/>
              <a:ea typeface="Arial"/>
              <a:cs typeface="Arial"/>
            </a:rPr>
            <a:t>Prontuario</a:t>
          </a:r>
          <a:r>
            <a:rPr lang="en-US" cap="none" sz="800" b="0" i="0" u="none" baseline="0">
              <a:latin typeface="Arial"/>
              <a:ea typeface="Arial"/>
              <a:cs typeface="Arial"/>
            </a:rPr>
            <a:t>.
Il Primo modulo: 'Prontuario' è il più importante e costituisce il corpo centrale di tutta la procedura. Presenta una serie di righe contenenti le voci che costituiscono il prontuario vero e proprio. Per modificare il valore della cifra finale di riferimento inserire i dati nelle celle situate sulle colonne 'Min. Lav', 'Qtà', 'Costo Unitario Mat. Pr.' ed in quelle contrassegnate dalle lettere : 'F', 'T' e 'Q'. I valori di immissioni possibili in queste ultime vanno da 1 a 5. 
Modulo </a:t>
          </a:r>
          <a:r>
            <a:rPr lang="en-US" cap="none" sz="800" b="1" i="0" u="none" baseline="0">
              <a:latin typeface="Arial"/>
              <a:ea typeface="Arial"/>
              <a:cs typeface="Arial"/>
            </a:rPr>
            <a:t>Valori</a:t>
          </a:r>
          <a:r>
            <a:rPr lang="en-US" cap="none" sz="800" b="0" i="0" u="none" baseline="0">
              <a:latin typeface="Arial"/>
              <a:ea typeface="Arial"/>
              <a:cs typeface="Arial"/>
            </a:rPr>
            <a:t>.
Il modulo Valori contiene i dati base di bilancio aziendale su cui sono calcolati i costi aziendali standard, che sommati opportunamente, produrranno la cifra finale di riferimento. In questo modulo è necessario inserire dati aziendali personali nella zone colorate in celeste perchè i relativi costi siano coerenti. Per quanto riguarda il numero dipendenti è possibile inserire anche valori frazionari. 
Modulo </a:t>
          </a:r>
          <a:r>
            <a:rPr lang="en-US" cap="none" sz="800" b="1" i="0" u="none" baseline="0">
              <a:latin typeface="Arial"/>
              <a:ea typeface="Arial"/>
              <a:cs typeface="Arial"/>
            </a:rPr>
            <a:t>Formazione Prezzo</a:t>
          </a:r>
          <a:r>
            <a:rPr lang="en-US" cap="none" sz="800" b="0" i="0" u="none" baseline="0">
              <a:latin typeface="Arial"/>
              <a:ea typeface="Arial"/>
              <a:cs typeface="Arial"/>
            </a:rPr>
            <a:t>.
In questo modulo è possibile, impostando propri dati, conoscere il prezzo di riferimento per una lavorazione personalizzata. 
Modulo </a:t>
          </a:r>
          <a:r>
            <a:rPr lang="en-US" cap="none" sz="800" b="1" i="0" u="none" baseline="0">
              <a:latin typeface="Arial"/>
              <a:ea typeface="Arial"/>
              <a:cs typeface="Arial"/>
            </a:rPr>
            <a:t>Punto di Pareggio</a:t>
          </a:r>
          <a:r>
            <a:rPr lang="en-US" cap="none" sz="800" b="0" i="0" u="none" baseline="0">
              <a:latin typeface="Arial"/>
              <a:ea typeface="Arial"/>
              <a:cs typeface="Arial"/>
            </a:rPr>
            <a:t>.
Questo modulo permette di ottenere l'analisi del Punto di Pareggio di una azienda inserendo nel campo appropriato l'importo del Costo Totale aziendale. Naturalmente l'analisi può essere effettuata anche in sede di previsione. Nelle righe di sviluppo sottostanti il grafico sono riportati i valori di calcolo.
Modulo  </a:t>
          </a:r>
          <a:r>
            <a:rPr lang="en-US" cap="none" sz="800" b="1" i="0" u="none" baseline="0">
              <a:latin typeface="Arial"/>
              <a:ea typeface="Arial"/>
              <a:cs typeface="Arial"/>
            </a:rPr>
            <a:t>Studio di Settore </a:t>
          </a:r>
          <a:r>
            <a:rPr lang="en-US" cap="none" sz="800" b="0" i="0" u="none" baseline="0">
              <a:latin typeface="Arial"/>
              <a:ea typeface="Arial"/>
              <a:cs typeface="Arial"/>
            </a:rPr>
            <a:t>(attualmente in fase di elaborazione)
Modulo </a:t>
          </a:r>
          <a:r>
            <a:rPr lang="en-US" cap="none" sz="800" b="1" i="0" u="none" baseline="0">
              <a:latin typeface="Arial"/>
              <a:ea typeface="Arial"/>
              <a:cs typeface="Arial"/>
            </a:rPr>
            <a:t>Statistiche</a:t>
          </a:r>
          <a:r>
            <a:rPr lang="en-US" cap="none" sz="800" b="0" i="0" u="none" baseline="0">
              <a:latin typeface="Arial"/>
              <a:ea typeface="Arial"/>
              <a:cs typeface="Arial"/>
            </a:rPr>
            <a:t>.
In questo modulo si possono inserire dati disparati nella colonna 'Etichette' con i rispettivi valori o importi nella colonna 'Dati' per avere un istogramma garfico di più agevole lettura e consultazione</a:t>
          </a:r>
          <a:r>
            <a:rPr lang="en-US" cap="none" sz="900" b="0" i="0" u="none" baseline="0">
              <a:latin typeface="Geneva"/>
              <a:ea typeface="Geneva"/>
              <a:cs typeface="Geneva"/>
            </a:rPr>
            <a:t>.
ATTENZIONE:</a:t>
          </a:r>
          <a:r>
            <a:rPr lang="en-US" cap="none" sz="900" b="0" i="0" u="sng" baseline="0">
              <a:latin typeface="Geneva"/>
              <a:ea typeface="Geneva"/>
              <a:cs typeface="Geneva"/>
            </a:rPr>
            <a:t> per conoscere i propri costi di gestione aziendale è necessario inserire nel Modulo VALORI i dati di bilancio della propria azienda</a:t>
          </a:r>
          <a:r>
            <a:rPr lang="en-US" cap="none" sz="900" b="0" i="0" u="none" baseline="0">
              <a:latin typeface="Geneva"/>
              <a:ea typeface="Geneva"/>
              <a:cs typeface="Geneva"/>
            </a:rPr>
            <a:t>. I valori presenti  in versione DEMO sono valori fittizzi inseriti per far funzionare la procedura senza i quali la stessa genera messaggi di errore.</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9525</xdr:rowOff>
    </xdr:from>
    <xdr:to>
      <xdr:col>7</xdr:col>
      <xdr:colOff>209550</xdr:colOff>
      <xdr:row>6</xdr:row>
      <xdr:rowOff>133350</xdr:rowOff>
    </xdr:to>
    <xdr:sp>
      <xdr:nvSpPr>
        <xdr:cNvPr id="1" name="TextBox 7"/>
        <xdr:cNvSpPr txBox="1">
          <a:spLocks noChangeArrowheads="1"/>
        </xdr:cNvSpPr>
      </xdr:nvSpPr>
      <xdr:spPr>
        <a:xfrm>
          <a:off x="9525" y="9525"/>
          <a:ext cx="9105900" cy="1095375"/>
        </a:xfrm>
        <a:prstGeom prst="rect">
          <a:avLst/>
        </a:prstGeom>
        <a:solidFill>
          <a:srgbClr val="C0C0C0"/>
        </a:solidFill>
        <a:ln w="0" cmpd="sng">
          <a:solidFill>
            <a:srgbClr val="969696"/>
          </a:solidFill>
          <a:headEnd type="none"/>
          <a:tailEnd type="none"/>
        </a:ln>
      </xdr:spPr>
      <xdr:txBody>
        <a:bodyPr vertOverflow="clip" wrap="square"/>
        <a:p>
          <a:pPr algn="l">
            <a:defRPr/>
          </a:pPr>
          <a:r>
            <a:rPr lang="en-US" cap="none" sz="2400" b="0" i="0" u="none" baseline="0">
              <a:solidFill>
                <a:srgbClr val="0000FF"/>
              </a:solidFill>
              <a:latin typeface="Geneva"/>
              <a:ea typeface="Geneva"/>
              <a:cs typeface="Geneva"/>
            </a:rPr>
            <a:t>     Scheda dei Valori di Bilancio dell'Azienda</a:t>
          </a:r>
          <a:r>
            <a:rPr lang="en-US" cap="none" sz="2400" b="0" i="0" u="none" baseline="0">
              <a:solidFill>
                <a:srgbClr val="969696"/>
              </a:solidFill>
              <a:latin typeface="Geneva"/>
              <a:ea typeface="Geneva"/>
              <a:cs typeface="Geneva"/>
            </a:rPr>
            <a:t>
</a:t>
          </a:r>
          <a:r>
            <a:rPr lang="en-US" cap="none" sz="1000" b="0" i="0" u="none" baseline="0">
              <a:solidFill>
                <a:srgbClr val="969696"/>
              </a:solidFill>
              <a:latin typeface="Geneva"/>
              <a:ea typeface="Geneva"/>
              <a:cs typeface="Geneva"/>
            </a:rPr>
            <a:t> 
</a:t>
          </a:r>
          <a:r>
            <a:rPr lang="en-US" cap="none" sz="1000" b="0" i="0" u="none" baseline="0">
              <a:solidFill>
                <a:srgbClr val="0000FF"/>
              </a:solidFill>
              <a:latin typeface="Geneva"/>
              <a:ea typeface="Geneva"/>
              <a:cs typeface="Geneva"/>
            </a:rPr>
            <a:t>Inserire il numero degli addetti nella casella colorata solo nel caso il prontuario sia personalizzato con propri dati </a:t>
          </a:r>
          <a:r>
            <a:rPr lang="en-US" cap="none" sz="1000" b="0" i="0" u="none" baseline="0">
              <a:solidFill>
                <a:srgbClr val="969696"/>
              </a:solidFill>
              <a:latin typeface="Geneva"/>
              <a:ea typeface="Geneva"/>
              <a:cs typeface="Geneva"/>
            </a:rPr>
            <a:t>
</a:t>
          </a:r>
        </a:p>
      </xdr:txBody>
    </xdr:sp>
    <xdr:clientData/>
  </xdr:twoCellAnchor>
  <xdr:twoCellAnchor>
    <xdr:from>
      <xdr:col>0</xdr:col>
      <xdr:colOff>0</xdr:colOff>
      <xdr:row>8</xdr:row>
      <xdr:rowOff>9525</xdr:rowOff>
    </xdr:from>
    <xdr:to>
      <xdr:col>6</xdr:col>
      <xdr:colOff>800100</xdr:colOff>
      <xdr:row>13</xdr:row>
      <xdr:rowOff>152400</xdr:rowOff>
    </xdr:to>
    <xdr:sp>
      <xdr:nvSpPr>
        <xdr:cNvPr id="2" name="TextBox 9"/>
        <xdr:cNvSpPr txBox="1">
          <a:spLocks noChangeArrowheads="1"/>
        </xdr:cNvSpPr>
      </xdr:nvSpPr>
      <xdr:spPr>
        <a:xfrm>
          <a:off x="0" y="1304925"/>
          <a:ext cx="8877300" cy="952500"/>
        </a:xfrm>
        <a:prstGeom prst="rect">
          <a:avLst/>
        </a:prstGeom>
        <a:solidFill>
          <a:srgbClr val="C0C0C0"/>
        </a:solidFill>
        <a:ln w="9525" cmpd="sng">
          <a:solidFill>
            <a:srgbClr val="C0C0C0"/>
          </a:solidFill>
          <a:headEnd type="none"/>
          <a:tailEnd type="none"/>
        </a:ln>
      </xdr:spPr>
      <xdr:txBody>
        <a:bodyPr vertOverflow="clip" wrap="square"/>
        <a:p>
          <a:pPr algn="l">
            <a:defRPr/>
          </a:pPr>
          <a:r>
            <a:rPr lang="en-US" cap="none" sz="1000" b="0" i="0" u="none" baseline="0">
              <a:solidFill>
                <a:srgbClr val="0000FF"/>
              </a:solidFill>
              <a:latin typeface="Geneva"/>
              <a:ea typeface="Geneva"/>
              <a:cs typeface="Geneva"/>
            </a:rPr>
            <a:t>
                       </a:t>
          </a:r>
          <a:r>
            <a:rPr lang="en-US" cap="none" sz="1400" b="0" i="0" u="none" baseline="0">
              <a:solidFill>
                <a:srgbClr val="0000FF"/>
              </a:solidFill>
              <a:latin typeface="Geneva"/>
              <a:ea typeface="Geneva"/>
              <a:cs typeface="Geneva"/>
            </a:rPr>
            <a:t>Dati personalizzati di Bilancio</a:t>
          </a:r>
          <a:r>
            <a:rPr lang="en-US" cap="none" sz="1000" b="0" i="0" u="none" baseline="0">
              <a:solidFill>
                <a:srgbClr val="0000FF"/>
              </a:solidFill>
              <a:latin typeface="Geneva"/>
              <a:ea typeface="Geneva"/>
              <a:cs typeface="Geneva"/>
            </a:rPr>
            <a:t>
          Inserire i propri dati di bilancio nelle caselle colorate suddividendo i costi in Variabili e Fissi
</a:t>
          </a:r>
        </a:p>
      </xdr:txBody>
    </xdr:sp>
    <xdr:clientData/>
  </xdr:twoCellAnchor>
  <xdr:twoCellAnchor>
    <xdr:from>
      <xdr:col>3</xdr:col>
      <xdr:colOff>9525</xdr:colOff>
      <xdr:row>15</xdr:row>
      <xdr:rowOff>9525</xdr:rowOff>
    </xdr:from>
    <xdr:to>
      <xdr:col>5</xdr:col>
      <xdr:colOff>847725</xdr:colOff>
      <xdr:row>24</xdr:row>
      <xdr:rowOff>152400</xdr:rowOff>
    </xdr:to>
    <xdr:sp>
      <xdr:nvSpPr>
        <xdr:cNvPr id="3" name="Rectangle 10"/>
        <xdr:cNvSpPr>
          <a:spLocks/>
        </xdr:cNvSpPr>
      </xdr:nvSpPr>
      <xdr:spPr>
        <a:xfrm>
          <a:off x="5467350" y="2438400"/>
          <a:ext cx="2600325" cy="1600200"/>
        </a:xfrm>
        <a:prstGeom prst="rect">
          <a:avLst/>
        </a:prstGeom>
        <a:solidFill>
          <a:srgbClr val="C0C0C0"/>
        </a:solidFill>
        <a:ln w="9525" cmpd="sng">
          <a:noFill/>
        </a:ln>
      </xdr:spPr>
      <xdr:txBody>
        <a:bodyPr vertOverflow="clip" wrap="square"/>
        <a:p>
          <a:pPr algn="l">
            <a:defRPr/>
          </a:pPr>
          <a:r>
            <a:rPr lang="en-US" cap="none" u="none" baseline="0">
              <a:latin typeface="Geneva"/>
              <a:ea typeface="Geneva"/>
              <a:cs typeface="Geneva"/>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38100</xdr:rowOff>
    </xdr:from>
    <xdr:to>
      <xdr:col>5</xdr:col>
      <xdr:colOff>571500</xdr:colOff>
      <xdr:row>20</xdr:row>
      <xdr:rowOff>38100</xdr:rowOff>
    </xdr:to>
    <xdr:sp>
      <xdr:nvSpPr>
        <xdr:cNvPr id="1" name="Rectangle 2"/>
        <xdr:cNvSpPr>
          <a:spLocks/>
        </xdr:cNvSpPr>
      </xdr:nvSpPr>
      <xdr:spPr>
        <a:xfrm>
          <a:off x="95250" y="38100"/>
          <a:ext cx="5943600" cy="35909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152400</xdr:colOff>
      <xdr:row>12</xdr:row>
      <xdr:rowOff>247650</xdr:rowOff>
    </xdr:from>
    <xdr:to>
      <xdr:col>9</xdr:col>
      <xdr:colOff>304800</xdr:colOff>
      <xdr:row>12</xdr:row>
      <xdr:rowOff>1638300</xdr:rowOff>
    </xdr:to>
    <xdr:sp>
      <xdr:nvSpPr>
        <xdr:cNvPr id="1" name="Testo 2"/>
        <xdr:cNvSpPr txBox="1">
          <a:spLocks noChangeArrowheads="1"/>
        </xdr:cNvSpPr>
      </xdr:nvSpPr>
      <xdr:spPr>
        <a:xfrm>
          <a:off x="6076950" y="2324100"/>
          <a:ext cx="3419475" cy="1400175"/>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sz="1400" b="1" i="0" u="none" baseline="0">
              <a:latin typeface="Geneva"/>
              <a:ea typeface="Geneva"/>
              <a:cs typeface="Geneva"/>
            </a:rPr>
            <a:t>          Legenda:</a:t>
          </a:r>
          <a:r>
            <a:rPr lang="en-US" cap="none" sz="1400" b="0" i="0" u="none" baseline="0">
              <a:latin typeface="Times New Roman"/>
              <a:ea typeface="Times New Roman"/>
              <a:cs typeface="Times New Roman"/>
            </a:rPr>
            <a:t>
        </a:t>
          </a:r>
          <a:r>
            <a:rPr lang="en-US" cap="none" sz="1200" b="0" i="0" u="none" baseline="0">
              <a:solidFill>
                <a:srgbClr val="0000FF"/>
              </a:solidFill>
              <a:latin typeface="Courier"/>
              <a:ea typeface="Courier"/>
              <a:cs typeface="Courier"/>
            </a:rPr>
            <a:t>Blu:</a:t>
          </a:r>
          <a:r>
            <a:rPr lang="en-US" cap="none" sz="1200" b="0" i="0" u="none" baseline="0">
              <a:latin typeface="Courier"/>
              <a:ea typeface="Courier"/>
              <a:cs typeface="Courier"/>
            </a:rPr>
            <a:t> Ricavi
   </a:t>
          </a:r>
          <a:r>
            <a:rPr lang="en-US" cap="none" sz="1200" b="0" i="0" u="none" baseline="0">
              <a:solidFill>
                <a:srgbClr val="FF00FF"/>
              </a:solidFill>
              <a:latin typeface="Courier"/>
              <a:ea typeface="Courier"/>
              <a:cs typeface="Courier"/>
            </a:rPr>
            <a:t>Rosa:</a:t>
          </a:r>
          <a:r>
            <a:rPr lang="en-US" cap="none" sz="1200" b="0" i="0" u="none" baseline="0">
              <a:latin typeface="Courier"/>
              <a:ea typeface="Courier"/>
              <a:cs typeface="Courier"/>
            </a:rPr>
            <a:t> Costi Totali
 </a:t>
          </a:r>
          <a:r>
            <a:rPr lang="en-US" cap="none" sz="1200" b="0" i="0" u="none" baseline="0">
              <a:solidFill>
                <a:srgbClr val="FFFF00"/>
              </a:solidFill>
              <a:latin typeface="Courier"/>
              <a:ea typeface="Courier"/>
              <a:cs typeface="Courier"/>
            </a:rPr>
            <a:t>Giallo:</a:t>
          </a:r>
          <a:r>
            <a:rPr lang="en-US" cap="none" sz="1200" b="0" i="0" u="none" baseline="0">
              <a:latin typeface="Courier"/>
              <a:ea typeface="Courier"/>
              <a:cs typeface="Courier"/>
            </a:rPr>
            <a:t> Imp. Contribuzione
</a:t>
          </a:r>
          <a:r>
            <a:rPr lang="en-US" cap="none" sz="1200" b="0" i="0" u="none" baseline="0">
              <a:solidFill>
                <a:srgbClr val="00FFFF"/>
              </a:solidFill>
              <a:latin typeface="Courier"/>
              <a:ea typeface="Courier"/>
              <a:cs typeface="Courier"/>
            </a:rPr>
            <a:t>Celeste:</a:t>
          </a:r>
          <a:r>
            <a:rPr lang="en-US" cap="none" sz="1200" b="0" i="0" u="none" baseline="0">
              <a:latin typeface="Courier"/>
              <a:ea typeface="Courier"/>
              <a:cs typeface="Courier"/>
            </a:rPr>
            <a:t> Costi/Ricavi a par.
  </a:t>
          </a:r>
          <a:r>
            <a:rPr lang="en-US" cap="none" sz="1200" b="0" i="0" u="none" baseline="0">
              <a:solidFill>
                <a:srgbClr val="800080"/>
              </a:solidFill>
              <a:latin typeface="Courier"/>
              <a:ea typeface="Courier"/>
              <a:cs typeface="Courier"/>
            </a:rPr>
            <a:t>Viola:</a:t>
          </a:r>
          <a:r>
            <a:rPr lang="en-US" cap="none" sz="1200" b="0" i="0" u="none" baseline="0">
              <a:latin typeface="Courier"/>
              <a:ea typeface="Courier"/>
              <a:cs typeface="Courier"/>
            </a:rPr>
            <a:t> Profitti/Perdite</a:t>
          </a:r>
        </a:p>
      </xdr:txBody>
    </xdr:sp>
    <xdr:clientData/>
  </xdr:twoCellAnchor>
  <xdr:twoCellAnchor>
    <xdr:from>
      <xdr:col>1</xdr:col>
      <xdr:colOff>0</xdr:colOff>
      <xdr:row>12</xdr:row>
      <xdr:rowOff>0</xdr:rowOff>
    </xdr:from>
    <xdr:to>
      <xdr:col>6</xdr:col>
      <xdr:colOff>0</xdr:colOff>
      <xdr:row>12</xdr:row>
      <xdr:rowOff>1838325</xdr:rowOff>
    </xdr:to>
    <xdr:graphicFrame>
      <xdr:nvGraphicFramePr>
        <xdr:cNvPr id="2" name="Chart 5"/>
        <xdr:cNvGraphicFramePr/>
      </xdr:nvGraphicFramePr>
      <xdr:xfrm>
        <a:off x="247650" y="2076450"/>
        <a:ext cx="5676900" cy="183832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419100</xdr:colOff>
      <xdr:row>4</xdr:row>
      <xdr:rowOff>9525</xdr:rowOff>
    </xdr:from>
    <xdr:to>
      <xdr:col>8</xdr:col>
      <xdr:colOff>85725</xdr:colOff>
      <xdr:row>9</xdr:row>
      <xdr:rowOff>28575</xdr:rowOff>
    </xdr:to>
    <xdr:sp>
      <xdr:nvSpPr>
        <xdr:cNvPr id="1" name="Rectangle 1"/>
        <xdr:cNvSpPr>
          <a:spLocks/>
        </xdr:cNvSpPr>
      </xdr:nvSpPr>
      <xdr:spPr>
        <a:xfrm>
          <a:off x="2057400" y="657225"/>
          <a:ext cx="4581525" cy="10858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85725</xdr:colOff>
      <xdr:row>6</xdr:row>
      <xdr:rowOff>0</xdr:rowOff>
    </xdr:from>
    <xdr:to>
      <xdr:col>11</xdr:col>
      <xdr:colOff>85725</xdr:colOff>
      <xdr:row>27</xdr:row>
      <xdr:rowOff>0</xdr:rowOff>
    </xdr:to>
    <xdr:graphicFrame>
      <xdr:nvGraphicFramePr>
        <xdr:cNvPr id="1" name="Chart 10"/>
        <xdr:cNvGraphicFramePr/>
      </xdr:nvGraphicFramePr>
      <xdr:xfrm>
        <a:off x="1981200" y="1104900"/>
        <a:ext cx="8181975" cy="3400425"/>
      </xdr:xfrm>
      <a:graphic>
        <a:graphicData uri="http://schemas.openxmlformats.org/drawingml/2006/chart">
          <c:chart xmlns:c="http://schemas.openxmlformats.org/drawingml/2006/chart" r:id="rId1"/>
        </a:graphicData>
      </a:graphic>
    </xdr:graphicFrame>
    <xdr:clientData/>
  </xdr:twoCellAnchor>
  <xdr:twoCellAnchor>
    <xdr:from>
      <xdr:col>0</xdr:col>
      <xdr:colOff>66675</xdr:colOff>
      <xdr:row>0</xdr:row>
      <xdr:rowOff>76200</xdr:rowOff>
    </xdr:from>
    <xdr:to>
      <xdr:col>11</xdr:col>
      <xdr:colOff>180975</xdr:colOff>
      <xdr:row>28</xdr:row>
      <xdr:rowOff>0</xdr:rowOff>
    </xdr:to>
    <xdr:sp>
      <xdr:nvSpPr>
        <xdr:cNvPr id="2" name="Rectangle 11"/>
        <xdr:cNvSpPr>
          <a:spLocks/>
        </xdr:cNvSpPr>
      </xdr:nvSpPr>
      <xdr:spPr>
        <a:xfrm>
          <a:off x="66675" y="76200"/>
          <a:ext cx="10191750" cy="45910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s>
</file>

<file path=xl/worksheets/sheet1.xml><?xml version="1.0" encoding="utf-8"?>
<worksheet xmlns="http://schemas.openxmlformats.org/spreadsheetml/2006/main" xmlns:r="http://schemas.openxmlformats.org/officeDocument/2006/relationships">
  <sheetPr codeName="Foglio1"/>
  <dimension ref="A1:AA200"/>
  <sheetViews>
    <sheetView showRowColHeaders="0" tabSelected="1" zoomScale="75" zoomScaleNormal="75" workbookViewId="0" topLeftCell="A1">
      <selection activeCell="A200" sqref="A200"/>
    </sheetView>
  </sheetViews>
  <sheetFormatPr defaultColWidth="9.00390625" defaultRowHeight="12.75"/>
  <cols>
    <col min="1" max="1" width="3.75390625" style="0" customWidth="1"/>
    <col min="2" max="2" width="7.25390625" style="0" customWidth="1"/>
    <col min="3" max="3" width="5.625" style="0" customWidth="1"/>
    <col min="4" max="4" width="7.625" style="0" customWidth="1"/>
    <col min="5" max="5" width="12.625" style="0" customWidth="1"/>
    <col min="6" max="16384" width="11.375" style="0" customWidth="1"/>
  </cols>
  <sheetData>
    <row r="1" spans="1:23" ht="12.75">
      <c r="A1" s="52"/>
      <c r="B1" s="52"/>
      <c r="C1" s="52"/>
      <c r="D1" s="52"/>
      <c r="E1" s="52"/>
      <c r="F1" s="52"/>
      <c r="G1" s="52"/>
      <c r="H1" s="52"/>
      <c r="I1" s="52"/>
      <c r="J1" s="52"/>
      <c r="K1" s="52"/>
      <c r="L1" s="52"/>
      <c r="M1" s="52"/>
      <c r="N1" s="52"/>
      <c r="O1" s="52"/>
      <c r="P1" s="52"/>
      <c r="Q1" s="52"/>
      <c r="R1" s="52"/>
      <c r="S1" s="52"/>
      <c r="T1" s="52"/>
      <c r="U1" s="52"/>
      <c r="V1" s="52"/>
      <c r="W1" s="52"/>
    </row>
    <row r="2" spans="1:23" ht="13.5" thickBot="1">
      <c r="A2" s="52"/>
      <c r="B2" s="52"/>
      <c r="C2" s="52"/>
      <c r="D2" s="52"/>
      <c r="E2" s="52"/>
      <c r="F2" s="52"/>
      <c r="G2" s="52"/>
      <c r="H2" s="52"/>
      <c r="I2" s="52"/>
      <c r="J2" s="52"/>
      <c r="K2" s="52"/>
      <c r="L2" s="52"/>
      <c r="M2" s="52"/>
      <c r="N2" s="52"/>
      <c r="O2" s="52"/>
      <c r="P2" s="52"/>
      <c r="Q2" s="52"/>
      <c r="R2" s="52"/>
      <c r="S2" s="52"/>
      <c r="T2" s="52"/>
      <c r="U2" s="52"/>
      <c r="V2" s="52"/>
      <c r="W2" s="52"/>
    </row>
    <row r="3" spans="1:23" ht="30.75" customHeight="1" thickBot="1">
      <c r="A3" s="52"/>
      <c r="B3" s="52"/>
      <c r="C3" s="52"/>
      <c r="D3" s="144" t="s">
        <v>24</v>
      </c>
      <c r="E3" s="53"/>
      <c r="F3" s="55"/>
      <c r="G3" s="55"/>
      <c r="H3" s="55"/>
      <c r="I3" s="55"/>
      <c r="J3" s="54"/>
      <c r="K3" s="52"/>
      <c r="L3" s="52"/>
      <c r="M3" s="52"/>
      <c r="N3" s="52"/>
      <c r="O3" s="52"/>
      <c r="P3" s="52"/>
      <c r="Q3" s="52"/>
      <c r="R3" s="52"/>
      <c r="S3" s="52"/>
      <c r="T3" s="52"/>
      <c r="U3" s="52"/>
      <c r="V3" s="52"/>
      <c r="W3" s="52"/>
    </row>
    <row r="4" spans="1:23" ht="12.75">
      <c r="A4" s="52"/>
      <c r="B4" s="52"/>
      <c r="C4" s="52"/>
      <c r="D4" s="146" t="s">
        <v>16</v>
      </c>
      <c r="E4" s="145"/>
      <c r="F4" s="52"/>
      <c r="G4" s="52"/>
      <c r="H4" s="52"/>
      <c r="I4" s="52"/>
      <c r="J4" s="52"/>
      <c r="K4" s="52"/>
      <c r="L4" s="52"/>
      <c r="M4" s="52"/>
      <c r="N4" s="52"/>
      <c r="O4" s="52"/>
      <c r="P4" s="52"/>
      <c r="Q4" s="52"/>
      <c r="R4" s="52"/>
      <c r="S4" s="52"/>
      <c r="T4" s="52"/>
      <c r="U4" s="52"/>
      <c r="V4" s="52"/>
      <c r="W4" s="52"/>
    </row>
    <row r="5" spans="1:23" ht="12.75">
      <c r="A5" s="52"/>
      <c r="B5" s="52"/>
      <c r="C5" s="52"/>
      <c r="D5" s="52"/>
      <c r="E5" s="52"/>
      <c r="F5" s="52"/>
      <c r="G5" s="52"/>
      <c r="H5" s="52"/>
      <c r="I5" s="52"/>
      <c r="J5" s="52"/>
      <c r="K5" s="52"/>
      <c r="L5" s="52"/>
      <c r="M5" s="52"/>
      <c r="N5" s="52"/>
      <c r="O5" s="52"/>
      <c r="P5" s="52"/>
      <c r="Q5" s="52"/>
      <c r="R5" s="52"/>
      <c r="S5" s="52"/>
      <c r="T5" s="52"/>
      <c r="U5" s="52"/>
      <c r="V5" s="52"/>
      <c r="W5" s="52"/>
    </row>
    <row r="6" spans="1:23" ht="12.75">
      <c r="A6" s="52"/>
      <c r="B6" s="52"/>
      <c r="C6" s="52"/>
      <c r="D6" s="52"/>
      <c r="E6" s="52"/>
      <c r="F6" s="52"/>
      <c r="G6" s="52"/>
      <c r="H6" s="52"/>
      <c r="I6" s="52"/>
      <c r="J6" s="52"/>
      <c r="K6" s="52"/>
      <c r="L6" s="52"/>
      <c r="M6" s="52"/>
      <c r="N6" s="52"/>
      <c r="O6" s="52"/>
      <c r="P6" s="52"/>
      <c r="Q6" s="52"/>
      <c r="R6" s="52"/>
      <c r="S6" s="52"/>
      <c r="T6" s="52"/>
      <c r="U6" s="52"/>
      <c r="V6" s="52"/>
      <c r="W6" s="52"/>
    </row>
    <row r="7" spans="1:23" ht="12.75">
      <c r="A7" s="52"/>
      <c r="B7" s="52"/>
      <c r="C7" s="52"/>
      <c r="D7" s="52"/>
      <c r="E7" s="126"/>
      <c r="F7" s="52"/>
      <c r="G7" s="52"/>
      <c r="H7" s="52"/>
      <c r="I7" s="52"/>
      <c r="J7" s="52"/>
      <c r="K7" s="52"/>
      <c r="L7" s="52"/>
      <c r="M7" s="52"/>
      <c r="N7" s="52"/>
      <c r="O7" s="52"/>
      <c r="P7" s="52"/>
      <c r="Q7" s="52"/>
      <c r="R7" s="52"/>
      <c r="S7" s="52"/>
      <c r="T7" s="52"/>
      <c r="U7" s="52"/>
      <c r="V7" s="52"/>
      <c r="W7" s="52"/>
    </row>
    <row r="8" spans="1:23" ht="12.75">
      <c r="A8" s="52"/>
      <c r="B8" s="52"/>
      <c r="C8" s="52"/>
      <c r="D8" s="52"/>
      <c r="E8" s="126"/>
      <c r="F8" s="52"/>
      <c r="G8" s="52"/>
      <c r="H8" s="52"/>
      <c r="I8" s="52"/>
      <c r="J8" s="52"/>
      <c r="K8" s="52"/>
      <c r="L8" s="52"/>
      <c r="M8" s="52"/>
      <c r="N8" s="52"/>
      <c r="O8" s="52"/>
      <c r="P8" s="52"/>
      <c r="Q8" s="52"/>
      <c r="R8" s="52"/>
      <c r="S8" s="52"/>
      <c r="T8" s="52"/>
      <c r="U8" s="52"/>
      <c r="V8" s="52"/>
      <c r="W8" s="52"/>
    </row>
    <row r="9" spans="1:23" ht="12.75">
      <c r="A9" s="52"/>
      <c r="B9" s="52"/>
      <c r="C9" s="52"/>
      <c r="D9" s="52"/>
      <c r="E9" s="52"/>
      <c r="F9" s="52"/>
      <c r="G9" s="52"/>
      <c r="H9" s="52"/>
      <c r="I9" s="52"/>
      <c r="J9" s="52"/>
      <c r="K9" s="52"/>
      <c r="L9" s="52"/>
      <c r="M9" s="52"/>
      <c r="N9" s="52"/>
      <c r="O9" s="52"/>
      <c r="P9" s="52"/>
      <c r="Q9" s="52"/>
      <c r="R9" s="52"/>
      <c r="S9" s="52"/>
      <c r="T9" s="52"/>
      <c r="U9" s="52"/>
      <c r="V9" s="52"/>
      <c r="W9" s="52"/>
    </row>
    <row r="10" spans="1:23" ht="12.75">
      <c r="A10" s="52"/>
      <c r="B10" s="52"/>
      <c r="C10" s="52"/>
      <c r="D10" s="52"/>
      <c r="E10" s="52"/>
      <c r="F10" s="52"/>
      <c r="G10" s="52"/>
      <c r="H10" s="52"/>
      <c r="I10" s="52"/>
      <c r="J10" s="52"/>
      <c r="K10" s="52"/>
      <c r="L10" s="52"/>
      <c r="M10" s="52"/>
      <c r="N10" s="52"/>
      <c r="O10" s="52"/>
      <c r="P10" s="52"/>
      <c r="Q10" s="52"/>
      <c r="R10" s="52"/>
      <c r="S10" s="52"/>
      <c r="T10" s="52"/>
      <c r="U10" s="52"/>
      <c r="V10" s="52"/>
      <c r="W10" s="52"/>
    </row>
    <row r="11" spans="1:23" ht="12.75">
      <c r="A11" s="52"/>
      <c r="B11" s="52"/>
      <c r="C11" s="52"/>
      <c r="D11" s="52"/>
      <c r="E11" s="52"/>
      <c r="F11" s="52"/>
      <c r="G11" s="52"/>
      <c r="H11" s="52"/>
      <c r="I11" s="52"/>
      <c r="J11" s="52"/>
      <c r="K11" s="52"/>
      <c r="L11" s="52"/>
      <c r="M11" s="52"/>
      <c r="N11" s="52"/>
      <c r="O11" s="52"/>
      <c r="P11" s="52"/>
      <c r="Q11" s="52"/>
      <c r="R11" s="52"/>
      <c r="S11" s="52"/>
      <c r="T11" s="52"/>
      <c r="U11" s="52"/>
      <c r="V11" s="52"/>
      <c r="W11" s="52"/>
    </row>
    <row r="12" spans="1:23" ht="12.75">
      <c r="A12" s="52"/>
      <c r="B12" s="52"/>
      <c r="C12" s="52"/>
      <c r="D12" s="52"/>
      <c r="E12" s="156"/>
      <c r="F12" s="157">
        <f>IF($E$7="","","Copia concessa in uso a:")</f>
      </c>
      <c r="G12" s="125">
        <f>IF($E$7&lt;&gt;"",$E$7&amp;" - Confartigianato","")</f>
      </c>
      <c r="H12" s="52"/>
      <c r="I12" s="52"/>
      <c r="J12" s="52"/>
      <c r="K12" s="52"/>
      <c r="L12" s="52"/>
      <c r="M12" s="52"/>
      <c r="N12" s="52"/>
      <c r="O12" s="52"/>
      <c r="P12" s="52"/>
      <c r="Q12" s="52"/>
      <c r="R12" s="52"/>
      <c r="S12" s="52"/>
      <c r="T12" s="52"/>
      <c r="U12" s="52"/>
      <c r="V12" s="52"/>
      <c r="W12" s="52"/>
    </row>
    <row r="13" spans="1:23" ht="12.75">
      <c r="A13" s="52"/>
      <c r="B13" s="52"/>
      <c r="C13" s="52"/>
      <c r="D13" s="52"/>
      <c r="E13" s="52"/>
      <c r="F13" s="52"/>
      <c r="G13" s="52"/>
      <c r="H13" s="52"/>
      <c r="I13" s="52"/>
      <c r="J13" s="52"/>
      <c r="K13" s="52"/>
      <c r="L13" s="52"/>
      <c r="M13" s="52"/>
      <c r="N13" s="52"/>
      <c r="O13" s="52"/>
      <c r="P13" s="52"/>
      <c r="Q13" s="52"/>
      <c r="R13" s="52"/>
      <c r="S13" s="52"/>
      <c r="T13" s="52"/>
      <c r="U13" s="52"/>
      <c r="V13" s="52"/>
      <c r="W13" s="52"/>
    </row>
    <row r="14" spans="1:23" ht="12.75">
      <c r="A14" s="52"/>
      <c r="B14" s="52"/>
      <c r="C14" s="52"/>
      <c r="D14" s="52"/>
      <c r="E14" s="52"/>
      <c r="F14" s="52"/>
      <c r="G14" s="52"/>
      <c r="H14" s="52"/>
      <c r="I14" s="52"/>
      <c r="J14" s="52"/>
      <c r="K14" s="52"/>
      <c r="L14" s="52"/>
      <c r="M14" s="52"/>
      <c r="N14" s="52"/>
      <c r="O14" s="52"/>
      <c r="P14" s="52"/>
      <c r="Q14" s="52"/>
      <c r="R14" s="52"/>
      <c r="S14" s="52"/>
      <c r="T14" s="52"/>
      <c r="U14" s="52"/>
      <c r="V14" s="52"/>
      <c r="W14" s="52"/>
    </row>
    <row r="15" spans="1:23" ht="12.75">
      <c r="A15" s="52"/>
      <c r="B15" s="52"/>
      <c r="C15" s="52"/>
      <c r="D15" s="52"/>
      <c r="E15" s="52"/>
      <c r="F15" s="52"/>
      <c r="G15" s="52"/>
      <c r="H15" s="52"/>
      <c r="I15" s="52"/>
      <c r="J15" s="52"/>
      <c r="K15" s="52"/>
      <c r="L15" s="52"/>
      <c r="M15" s="52"/>
      <c r="N15" s="52"/>
      <c r="O15" s="52"/>
      <c r="P15" s="52"/>
      <c r="Q15" s="52"/>
      <c r="R15" s="52"/>
      <c r="S15" s="52"/>
      <c r="T15" s="52"/>
      <c r="U15" s="52"/>
      <c r="V15" s="52"/>
      <c r="W15" s="52"/>
    </row>
    <row r="16" spans="1:23" ht="12.75">
      <c r="A16" s="52"/>
      <c r="B16" s="52"/>
      <c r="C16" s="52"/>
      <c r="D16" s="52"/>
      <c r="E16" s="52"/>
      <c r="F16" s="52"/>
      <c r="G16" s="52"/>
      <c r="H16" s="52"/>
      <c r="I16" s="52"/>
      <c r="J16" s="52"/>
      <c r="K16" s="52"/>
      <c r="L16" s="52"/>
      <c r="M16" s="52"/>
      <c r="N16" s="52"/>
      <c r="O16" s="52"/>
      <c r="P16" s="52"/>
      <c r="Q16" s="52"/>
      <c r="R16" s="52"/>
      <c r="S16" s="52"/>
      <c r="T16" s="52"/>
      <c r="U16" s="52"/>
      <c r="V16" s="52"/>
      <c r="W16" s="52"/>
    </row>
    <row r="17" spans="1:23" ht="12.75">
      <c r="A17" s="52"/>
      <c r="B17" s="52"/>
      <c r="C17" s="52"/>
      <c r="D17" s="52"/>
      <c r="E17" s="52"/>
      <c r="F17" s="52"/>
      <c r="G17" s="52"/>
      <c r="H17" s="52"/>
      <c r="I17" s="52"/>
      <c r="J17" s="52"/>
      <c r="K17" s="52"/>
      <c r="L17" s="52"/>
      <c r="M17" s="52"/>
      <c r="N17" s="52"/>
      <c r="O17" s="52"/>
      <c r="P17" s="52"/>
      <c r="Q17" s="52"/>
      <c r="R17" s="52"/>
      <c r="S17" s="52"/>
      <c r="T17" s="52"/>
      <c r="U17" s="52"/>
      <c r="V17" s="52"/>
      <c r="W17" s="52"/>
    </row>
    <row r="18" spans="1:23" ht="12.75">
      <c r="A18" s="52"/>
      <c r="B18" s="52"/>
      <c r="C18" s="52"/>
      <c r="D18" s="52"/>
      <c r="E18" s="52"/>
      <c r="F18" s="52"/>
      <c r="G18" s="52"/>
      <c r="H18" s="52"/>
      <c r="I18" s="52"/>
      <c r="J18" s="52"/>
      <c r="K18" s="52"/>
      <c r="L18" s="52"/>
      <c r="M18" s="52"/>
      <c r="N18" s="52"/>
      <c r="O18" s="52"/>
      <c r="P18" s="52"/>
      <c r="Q18" s="52"/>
      <c r="R18" s="52"/>
      <c r="S18" s="52"/>
      <c r="T18" s="52"/>
      <c r="U18" s="52"/>
      <c r="V18" s="52"/>
      <c r="W18" s="52"/>
    </row>
    <row r="19" spans="1:23" ht="12.75">
      <c r="A19" s="52"/>
      <c r="B19" s="52"/>
      <c r="C19" s="52"/>
      <c r="D19" s="52"/>
      <c r="E19" s="52"/>
      <c r="F19" s="52"/>
      <c r="G19" s="52"/>
      <c r="H19" s="52"/>
      <c r="I19" s="52"/>
      <c r="J19" s="52"/>
      <c r="K19" s="52"/>
      <c r="L19" s="52"/>
      <c r="M19" s="52"/>
      <c r="N19" s="52"/>
      <c r="O19" s="52"/>
      <c r="P19" s="52"/>
      <c r="Q19" s="52"/>
      <c r="R19" s="52"/>
      <c r="S19" s="52"/>
      <c r="T19" s="52"/>
      <c r="U19" s="52"/>
      <c r="V19" s="52"/>
      <c r="W19" s="52"/>
    </row>
    <row r="20" spans="1:23" ht="12.75">
      <c r="A20" s="52"/>
      <c r="B20" s="52"/>
      <c r="C20" s="52"/>
      <c r="D20" s="52"/>
      <c r="E20" s="52"/>
      <c r="F20" s="52"/>
      <c r="G20" s="52"/>
      <c r="H20" s="52"/>
      <c r="I20" s="52"/>
      <c r="J20" s="52"/>
      <c r="K20" s="52"/>
      <c r="L20" s="52"/>
      <c r="M20" s="52"/>
      <c r="N20" s="52"/>
      <c r="O20" s="52"/>
      <c r="P20" s="52"/>
      <c r="Q20" s="52"/>
      <c r="R20" s="52"/>
      <c r="S20" s="52"/>
      <c r="T20" s="52"/>
      <c r="U20" s="52"/>
      <c r="V20" s="52"/>
      <c r="W20" s="52"/>
    </row>
    <row r="21" spans="1:23" ht="12.75">
      <c r="A21" s="52"/>
      <c r="B21" s="52"/>
      <c r="C21" s="52"/>
      <c r="D21" s="52"/>
      <c r="E21" s="52"/>
      <c r="F21" s="52"/>
      <c r="G21" s="52"/>
      <c r="H21" s="52"/>
      <c r="I21" s="52"/>
      <c r="J21" s="52"/>
      <c r="K21" s="52"/>
      <c r="L21" s="52"/>
      <c r="M21" s="52"/>
      <c r="N21" s="52"/>
      <c r="O21" s="52"/>
      <c r="P21" s="52"/>
      <c r="Q21" s="52"/>
      <c r="R21" s="52"/>
      <c r="S21" s="52"/>
      <c r="T21" s="52"/>
      <c r="U21" s="52"/>
      <c r="V21" s="52"/>
      <c r="W21" s="52"/>
    </row>
    <row r="22" spans="1:23" ht="12.75">
      <c r="A22" s="52"/>
      <c r="B22" s="52"/>
      <c r="C22" s="52"/>
      <c r="D22" s="52"/>
      <c r="E22" s="52"/>
      <c r="F22" s="52"/>
      <c r="G22" s="52"/>
      <c r="H22" s="52"/>
      <c r="I22" s="52"/>
      <c r="J22" s="52"/>
      <c r="K22" s="52"/>
      <c r="L22" s="52"/>
      <c r="M22" s="52"/>
      <c r="N22" s="52"/>
      <c r="O22" s="52"/>
      <c r="P22" s="52"/>
      <c r="Q22" s="52"/>
      <c r="R22" s="52"/>
      <c r="S22" s="52"/>
      <c r="T22" s="52"/>
      <c r="U22" s="52"/>
      <c r="V22" s="52"/>
      <c r="W22" s="52"/>
    </row>
    <row r="23" spans="1:23" ht="12.75">
      <c r="A23" s="52"/>
      <c r="B23" s="52"/>
      <c r="C23" s="52"/>
      <c r="D23" s="52"/>
      <c r="E23" s="52"/>
      <c r="F23" s="52"/>
      <c r="G23" s="52"/>
      <c r="H23" s="52"/>
      <c r="I23" s="52"/>
      <c r="J23" s="52"/>
      <c r="K23" s="52"/>
      <c r="L23" s="52"/>
      <c r="M23" s="52"/>
      <c r="N23" s="52"/>
      <c r="O23" s="52"/>
      <c r="P23" s="52"/>
      <c r="Q23" s="52"/>
      <c r="R23" s="52"/>
      <c r="S23" s="52"/>
      <c r="T23" s="52"/>
      <c r="U23" s="52"/>
      <c r="V23" s="52"/>
      <c r="W23" s="52"/>
    </row>
    <row r="24" spans="1:23" ht="12.75">
      <c r="A24" s="52"/>
      <c r="B24" s="52"/>
      <c r="C24" s="52"/>
      <c r="D24" s="52"/>
      <c r="E24" s="52"/>
      <c r="F24" s="52"/>
      <c r="G24" s="52"/>
      <c r="H24" s="52"/>
      <c r="I24" s="52"/>
      <c r="J24" s="52"/>
      <c r="K24" s="52"/>
      <c r="L24" s="52"/>
      <c r="M24" s="52"/>
      <c r="N24" s="52"/>
      <c r="O24" s="52"/>
      <c r="P24" s="52"/>
      <c r="Q24" s="52"/>
      <c r="R24" s="52"/>
      <c r="S24" s="52"/>
      <c r="T24" s="52"/>
      <c r="U24" s="52"/>
      <c r="V24" s="52"/>
      <c r="W24" s="52"/>
    </row>
    <row r="25" spans="1:23" ht="12.75">
      <c r="A25" s="52"/>
      <c r="B25" s="52"/>
      <c r="C25" s="52"/>
      <c r="D25" s="52"/>
      <c r="E25" s="52"/>
      <c r="F25" s="52"/>
      <c r="G25" s="52"/>
      <c r="H25" s="52"/>
      <c r="I25" s="52"/>
      <c r="J25" s="52"/>
      <c r="K25" s="52"/>
      <c r="L25" s="52"/>
      <c r="M25" s="52"/>
      <c r="N25" s="52"/>
      <c r="O25" s="52"/>
      <c r="P25" s="52"/>
      <c r="Q25" s="52"/>
      <c r="R25" s="52"/>
      <c r="S25" s="52"/>
      <c r="T25" s="52"/>
      <c r="U25" s="52"/>
      <c r="V25" s="52"/>
      <c r="W25" s="52"/>
    </row>
    <row r="26" spans="1:23" ht="12.75">
      <c r="A26" s="52"/>
      <c r="B26" s="52"/>
      <c r="C26" s="52"/>
      <c r="D26" s="52"/>
      <c r="E26" s="52"/>
      <c r="F26" s="52"/>
      <c r="G26" s="52"/>
      <c r="H26" s="52"/>
      <c r="I26" s="52"/>
      <c r="J26" s="52"/>
      <c r="K26" s="52"/>
      <c r="L26" s="52"/>
      <c r="M26" s="52"/>
      <c r="N26" s="52"/>
      <c r="O26" s="52"/>
      <c r="P26" s="52"/>
      <c r="Q26" s="52"/>
      <c r="R26" s="52"/>
      <c r="S26" s="52"/>
      <c r="T26" s="52"/>
      <c r="U26" s="52"/>
      <c r="V26" s="52"/>
      <c r="W26" s="52"/>
    </row>
    <row r="27" spans="1:23" ht="12.75">
      <c r="A27" s="52"/>
      <c r="B27" s="52"/>
      <c r="C27" s="52"/>
      <c r="D27" s="52"/>
      <c r="E27" s="52"/>
      <c r="F27" s="52"/>
      <c r="G27" s="52"/>
      <c r="H27" s="52"/>
      <c r="I27" s="52"/>
      <c r="J27" s="52"/>
      <c r="K27" s="52"/>
      <c r="L27" s="52"/>
      <c r="M27" s="52"/>
      <c r="N27" s="52"/>
      <c r="O27" s="52"/>
      <c r="P27" s="52"/>
      <c r="Q27" s="52"/>
      <c r="R27" s="52"/>
      <c r="S27" s="52"/>
      <c r="T27" s="52"/>
      <c r="U27" s="52"/>
      <c r="V27" s="52"/>
      <c r="W27" s="52"/>
    </row>
    <row r="28" spans="1:23" ht="12.75">
      <c r="A28" s="52"/>
      <c r="B28" s="52"/>
      <c r="C28" s="52"/>
      <c r="D28" s="52"/>
      <c r="E28" s="52"/>
      <c r="F28" s="52"/>
      <c r="G28" s="52"/>
      <c r="H28" s="52"/>
      <c r="I28" s="52"/>
      <c r="J28" s="52"/>
      <c r="K28" s="52"/>
      <c r="L28" s="52"/>
      <c r="M28" s="52"/>
      <c r="N28" s="52"/>
      <c r="O28" s="52"/>
      <c r="P28" s="52"/>
      <c r="Q28" s="52"/>
      <c r="R28" s="52"/>
      <c r="S28" s="52"/>
      <c r="T28" s="52"/>
      <c r="U28" s="52"/>
      <c r="V28" s="52"/>
      <c r="W28" s="52"/>
    </row>
    <row r="29" spans="1:23" ht="12.75">
      <c r="A29" s="52"/>
      <c r="B29" s="52"/>
      <c r="C29" s="52"/>
      <c r="D29" s="52"/>
      <c r="E29" s="52"/>
      <c r="F29" s="52"/>
      <c r="G29" s="52"/>
      <c r="H29" s="52"/>
      <c r="I29" s="52"/>
      <c r="J29" s="52"/>
      <c r="K29" s="52"/>
      <c r="L29" s="52"/>
      <c r="M29" s="52"/>
      <c r="N29" s="52"/>
      <c r="O29" s="52"/>
      <c r="P29" s="52"/>
      <c r="Q29" s="52"/>
      <c r="R29" s="52"/>
      <c r="S29" s="52"/>
      <c r="T29" s="52"/>
      <c r="U29" s="52"/>
      <c r="V29" s="52"/>
      <c r="W29" s="52"/>
    </row>
    <row r="30" spans="1:23" ht="12.75">
      <c r="A30" s="52"/>
      <c r="B30" s="52"/>
      <c r="C30" s="52"/>
      <c r="D30" s="52"/>
      <c r="E30" s="52"/>
      <c r="F30" s="52"/>
      <c r="G30" s="52"/>
      <c r="H30" s="52"/>
      <c r="I30" s="52"/>
      <c r="J30" s="52"/>
      <c r="K30" s="52"/>
      <c r="L30" s="52"/>
      <c r="M30" s="52"/>
      <c r="N30" s="52"/>
      <c r="O30" s="52"/>
      <c r="P30" s="52"/>
      <c r="Q30" s="52"/>
      <c r="R30" s="52"/>
      <c r="S30" s="52"/>
      <c r="T30" s="52"/>
      <c r="U30" s="52"/>
      <c r="V30" s="52"/>
      <c r="W30" s="52"/>
    </row>
    <row r="31" spans="1:23" ht="12.75">
      <c r="A31" s="52"/>
      <c r="B31" s="52"/>
      <c r="C31" s="52"/>
      <c r="D31" s="52"/>
      <c r="E31" s="52"/>
      <c r="F31" s="52"/>
      <c r="G31" s="52"/>
      <c r="H31" s="52"/>
      <c r="I31" s="52"/>
      <c r="J31" s="52"/>
      <c r="K31" s="52"/>
      <c r="L31" s="52"/>
      <c r="M31" s="52"/>
      <c r="N31" s="52"/>
      <c r="O31" s="52"/>
      <c r="P31" s="52"/>
      <c r="Q31" s="52"/>
      <c r="R31" s="52"/>
      <c r="S31" s="52"/>
      <c r="T31" s="52"/>
      <c r="U31" s="52"/>
      <c r="V31" s="52"/>
      <c r="W31" s="52"/>
    </row>
    <row r="32" spans="1:23" ht="12.75">
      <c r="A32" s="52"/>
      <c r="B32" s="52"/>
      <c r="C32" s="52"/>
      <c r="D32" s="52"/>
      <c r="E32" s="52"/>
      <c r="F32" s="52"/>
      <c r="G32" s="52"/>
      <c r="H32" s="52"/>
      <c r="I32" s="52"/>
      <c r="J32" s="52"/>
      <c r="K32" s="52"/>
      <c r="L32" s="52"/>
      <c r="M32" s="52"/>
      <c r="N32" s="52"/>
      <c r="O32" s="52"/>
      <c r="P32" s="52"/>
      <c r="Q32" s="52"/>
      <c r="R32" s="52"/>
      <c r="S32" s="52"/>
      <c r="T32" s="52"/>
      <c r="U32" s="52"/>
      <c r="V32" s="52"/>
      <c r="W32" s="52"/>
    </row>
    <row r="33" spans="1:23" ht="12.75">
      <c r="A33" s="52"/>
      <c r="B33" s="52"/>
      <c r="C33" s="52"/>
      <c r="D33" s="52"/>
      <c r="E33" s="52"/>
      <c r="F33" s="52"/>
      <c r="G33" s="52"/>
      <c r="H33" s="52"/>
      <c r="I33" s="52"/>
      <c r="J33" s="52"/>
      <c r="K33" s="52"/>
      <c r="L33" s="52"/>
      <c r="M33" s="52"/>
      <c r="N33" s="52"/>
      <c r="O33" s="52"/>
      <c r="P33" s="52"/>
      <c r="Q33" s="52"/>
      <c r="R33" s="52"/>
      <c r="S33" s="52"/>
      <c r="T33" s="52"/>
      <c r="U33" s="52"/>
      <c r="V33" s="52"/>
      <c r="W33" s="52"/>
    </row>
    <row r="34" spans="1:23" ht="12.75">
      <c r="A34" s="52"/>
      <c r="B34" s="52"/>
      <c r="C34" s="52"/>
      <c r="D34" s="52"/>
      <c r="E34" s="52"/>
      <c r="F34" s="52"/>
      <c r="G34" s="52"/>
      <c r="H34" s="52"/>
      <c r="I34" s="52"/>
      <c r="J34" s="52"/>
      <c r="K34" s="52"/>
      <c r="L34" s="52"/>
      <c r="M34" s="52"/>
      <c r="N34" s="52"/>
      <c r="O34" s="52"/>
      <c r="P34" s="52"/>
      <c r="Q34" s="52"/>
      <c r="R34" s="52"/>
      <c r="S34" s="52"/>
      <c r="T34" s="52"/>
      <c r="U34" s="52"/>
      <c r="V34" s="52"/>
      <c r="W34" s="52"/>
    </row>
    <row r="35" spans="1:23" ht="12.75">
      <c r="A35" s="52"/>
      <c r="B35" s="52"/>
      <c r="C35" s="52"/>
      <c r="D35" s="52"/>
      <c r="E35" s="52"/>
      <c r="F35" s="52"/>
      <c r="G35" s="52"/>
      <c r="H35" s="52"/>
      <c r="I35" s="52"/>
      <c r="J35" s="52"/>
      <c r="K35" s="52"/>
      <c r="L35" s="52"/>
      <c r="M35" s="52"/>
      <c r="N35" s="52"/>
      <c r="O35" s="52"/>
      <c r="P35" s="52"/>
      <c r="Q35" s="52"/>
      <c r="R35" s="52"/>
      <c r="S35" s="52"/>
      <c r="T35" s="52"/>
      <c r="U35" s="52"/>
      <c r="V35" s="52"/>
      <c r="W35" s="52"/>
    </row>
    <row r="36" spans="1:23" ht="12.75">
      <c r="A36" s="52"/>
      <c r="B36" s="52"/>
      <c r="C36" s="52"/>
      <c r="D36" s="52"/>
      <c r="E36" s="52"/>
      <c r="F36" s="52"/>
      <c r="G36" s="52"/>
      <c r="H36" s="52"/>
      <c r="I36" s="52"/>
      <c r="J36" s="52"/>
      <c r="K36" s="52"/>
      <c r="L36" s="52"/>
      <c r="M36" s="52"/>
      <c r="N36" s="52"/>
      <c r="O36" s="52"/>
      <c r="P36" s="52"/>
      <c r="Q36" s="52"/>
      <c r="R36" s="52"/>
      <c r="S36" s="52"/>
      <c r="T36" s="52"/>
      <c r="U36" s="52"/>
      <c r="V36" s="52"/>
      <c r="W36" s="52"/>
    </row>
    <row r="37" spans="1:23" ht="12.75">
      <c r="A37" s="52"/>
      <c r="B37" s="52"/>
      <c r="C37" s="52"/>
      <c r="D37" s="52"/>
      <c r="E37" s="52"/>
      <c r="F37" s="52"/>
      <c r="G37" s="52"/>
      <c r="H37" s="52"/>
      <c r="I37" s="52"/>
      <c r="J37" s="52"/>
      <c r="K37" s="52"/>
      <c r="L37" s="52"/>
      <c r="M37" s="52"/>
      <c r="N37" s="52"/>
      <c r="O37" s="52"/>
      <c r="P37" s="52"/>
      <c r="Q37" s="52"/>
      <c r="R37" s="52"/>
      <c r="S37" s="52"/>
      <c r="T37" s="52"/>
      <c r="U37" s="52"/>
      <c r="V37" s="52"/>
      <c r="W37" s="52"/>
    </row>
    <row r="38" spans="1:23" ht="12.75">
      <c r="A38" s="52"/>
      <c r="B38" s="52"/>
      <c r="C38" s="52"/>
      <c r="D38" s="52"/>
      <c r="E38" s="52"/>
      <c r="F38" s="52"/>
      <c r="G38" s="52"/>
      <c r="H38" s="52"/>
      <c r="I38" s="52"/>
      <c r="J38" s="52"/>
      <c r="K38" s="52"/>
      <c r="L38" s="52"/>
      <c r="M38" s="52"/>
      <c r="N38" s="52"/>
      <c r="O38" s="52"/>
      <c r="P38" s="52"/>
      <c r="Q38" s="52"/>
      <c r="R38" s="52"/>
      <c r="S38" s="52"/>
      <c r="T38" s="52"/>
      <c r="U38" s="52"/>
      <c r="V38" s="52"/>
      <c r="W38" s="52"/>
    </row>
    <row r="39" spans="1:23" ht="12.75">
      <c r="A39" s="52"/>
      <c r="B39" s="52"/>
      <c r="C39" s="52"/>
      <c r="D39" s="52"/>
      <c r="E39" s="52"/>
      <c r="F39" s="52"/>
      <c r="G39" s="52"/>
      <c r="H39" s="52"/>
      <c r="I39" s="52"/>
      <c r="J39" s="52"/>
      <c r="K39" s="52"/>
      <c r="L39" s="52"/>
      <c r="M39" s="52"/>
      <c r="N39" s="52"/>
      <c r="O39" s="52"/>
      <c r="P39" s="52"/>
      <c r="Q39" s="52"/>
      <c r="R39" s="52"/>
      <c r="S39" s="52"/>
      <c r="T39" s="52"/>
      <c r="U39" s="52"/>
      <c r="V39" s="52"/>
      <c r="W39" s="52"/>
    </row>
    <row r="40" spans="1:23" ht="12.75">
      <c r="A40" s="52"/>
      <c r="B40" s="52"/>
      <c r="C40" s="52"/>
      <c r="D40" s="52"/>
      <c r="E40" s="82"/>
      <c r="F40" s="114"/>
      <c r="G40" s="125"/>
      <c r="H40" s="52"/>
      <c r="I40" s="52"/>
      <c r="J40" s="52"/>
      <c r="K40" s="52"/>
      <c r="L40" s="52"/>
      <c r="M40" s="52"/>
      <c r="N40" s="52"/>
      <c r="O40" s="52"/>
      <c r="P40" s="52"/>
      <c r="Q40" s="52"/>
      <c r="R40" s="52"/>
      <c r="S40" s="52"/>
      <c r="T40" s="52"/>
      <c r="U40" s="52"/>
      <c r="V40" s="52"/>
      <c r="W40" s="52"/>
    </row>
    <row r="41" spans="1:23" ht="12.75">
      <c r="A41" s="52"/>
      <c r="B41" s="52"/>
      <c r="C41" s="52"/>
      <c r="D41" s="52"/>
      <c r="E41" s="52"/>
      <c r="F41" s="82"/>
      <c r="G41" s="116"/>
      <c r="H41" s="52"/>
      <c r="I41" s="52"/>
      <c r="J41" s="52"/>
      <c r="K41" s="52"/>
      <c r="L41" s="52"/>
      <c r="M41" s="52"/>
      <c r="N41" s="52"/>
      <c r="O41" s="52"/>
      <c r="P41" s="52"/>
      <c r="Q41" s="52"/>
      <c r="R41" s="52"/>
      <c r="S41" s="52"/>
      <c r="T41" s="52"/>
      <c r="U41" s="52"/>
      <c r="V41" s="52"/>
      <c r="W41" s="52"/>
    </row>
    <row r="42" spans="1:23" ht="12.75">
      <c r="A42" s="52"/>
      <c r="B42" s="52"/>
      <c r="C42" s="52"/>
      <c r="D42" s="52"/>
      <c r="E42" s="52"/>
      <c r="F42" s="52"/>
      <c r="G42" s="52"/>
      <c r="H42" s="52"/>
      <c r="I42" s="52"/>
      <c r="J42" s="52"/>
      <c r="K42" s="52"/>
      <c r="L42" s="52"/>
      <c r="M42" s="52"/>
      <c r="N42" s="52"/>
      <c r="O42" s="52"/>
      <c r="P42" s="52"/>
      <c r="Q42" s="52"/>
      <c r="R42" s="52"/>
      <c r="S42" s="52"/>
      <c r="T42" s="52"/>
      <c r="U42" s="52"/>
      <c r="V42" s="52"/>
      <c r="W42" s="52"/>
    </row>
    <row r="43" spans="1:23" ht="12.75">
      <c r="A43" s="52"/>
      <c r="B43" s="52"/>
      <c r="C43" s="52"/>
      <c r="D43" s="52"/>
      <c r="E43" s="52"/>
      <c r="F43" s="52"/>
      <c r="G43" s="52"/>
      <c r="H43" s="52"/>
      <c r="I43" s="52"/>
      <c r="J43" s="52"/>
      <c r="K43" s="52"/>
      <c r="L43" s="52"/>
      <c r="M43" s="52"/>
      <c r="N43" s="52"/>
      <c r="O43" s="52"/>
      <c r="P43" s="52"/>
      <c r="Q43" s="52"/>
      <c r="R43" s="52"/>
      <c r="S43" s="52"/>
      <c r="T43" s="52"/>
      <c r="U43" s="52"/>
      <c r="V43" s="52"/>
      <c r="W43" s="52"/>
    </row>
    <row r="44" spans="1:23" ht="12.75">
      <c r="A44" s="52"/>
      <c r="B44" s="52"/>
      <c r="C44" s="52"/>
      <c r="D44" s="52"/>
      <c r="E44" s="52"/>
      <c r="F44" s="52"/>
      <c r="G44" s="52"/>
      <c r="H44" s="52"/>
      <c r="I44" s="52"/>
      <c r="J44" s="52"/>
      <c r="K44" s="52"/>
      <c r="L44" s="52"/>
      <c r="M44" s="52"/>
      <c r="N44" s="52"/>
      <c r="O44" s="52"/>
      <c r="P44" s="52"/>
      <c r="Q44" s="52"/>
      <c r="R44" s="52"/>
      <c r="S44" s="52"/>
      <c r="T44" s="52"/>
      <c r="U44" s="52"/>
      <c r="V44" s="52"/>
      <c r="W44" s="52"/>
    </row>
    <row r="45" spans="1:23" ht="12.75">
      <c r="A45" s="52"/>
      <c r="B45" s="52"/>
      <c r="C45" s="52"/>
      <c r="D45" s="52"/>
      <c r="E45" s="52"/>
      <c r="F45" s="52"/>
      <c r="G45" s="52"/>
      <c r="H45" s="52"/>
      <c r="I45" s="52"/>
      <c r="J45" s="52"/>
      <c r="K45" s="52"/>
      <c r="L45" s="52"/>
      <c r="M45" s="52"/>
      <c r="N45" s="52"/>
      <c r="O45" s="52"/>
      <c r="P45" s="52"/>
      <c r="Q45" s="52"/>
      <c r="R45" s="52"/>
      <c r="S45" s="52"/>
      <c r="T45" s="52"/>
      <c r="U45" s="52"/>
      <c r="V45" s="52"/>
      <c r="W45" s="52"/>
    </row>
    <row r="46" spans="1:23" ht="12.75">
      <c r="A46" s="52"/>
      <c r="B46" s="52"/>
      <c r="C46" s="52"/>
      <c r="D46" s="52"/>
      <c r="E46" s="52"/>
      <c r="F46" s="52"/>
      <c r="G46" s="52"/>
      <c r="H46" s="52"/>
      <c r="I46" s="52"/>
      <c r="J46" s="52"/>
      <c r="K46" s="52"/>
      <c r="L46" s="52"/>
      <c r="M46" s="52"/>
      <c r="N46" s="52"/>
      <c r="O46" s="52"/>
      <c r="P46" s="52"/>
      <c r="Q46" s="52"/>
      <c r="R46" s="52"/>
      <c r="S46" s="52"/>
      <c r="T46" s="52"/>
      <c r="U46" s="52"/>
      <c r="V46" s="52"/>
      <c r="W46" s="52"/>
    </row>
    <row r="47" spans="1:23" ht="12.75">
      <c r="A47" s="52"/>
      <c r="B47" s="52"/>
      <c r="C47" s="52"/>
      <c r="D47" s="52"/>
      <c r="E47" s="52"/>
      <c r="F47" s="52"/>
      <c r="G47" s="52"/>
      <c r="H47" s="52"/>
      <c r="I47" s="52"/>
      <c r="J47" s="52"/>
      <c r="K47" s="52"/>
      <c r="L47" s="52"/>
      <c r="M47" s="52"/>
      <c r="N47" s="52"/>
      <c r="O47" s="52"/>
      <c r="P47" s="52"/>
      <c r="Q47" s="52"/>
      <c r="R47" s="52"/>
      <c r="S47" s="52"/>
      <c r="T47" s="52"/>
      <c r="U47" s="52"/>
      <c r="V47" s="52"/>
      <c r="W47" s="52"/>
    </row>
    <row r="48" spans="1:23" ht="12.75">
      <c r="A48" s="52"/>
      <c r="B48" s="52"/>
      <c r="C48" s="52"/>
      <c r="D48" s="52"/>
      <c r="E48" s="52"/>
      <c r="F48" s="52"/>
      <c r="G48" s="52"/>
      <c r="H48" s="52"/>
      <c r="I48" s="52"/>
      <c r="J48" s="52"/>
      <c r="K48" s="52"/>
      <c r="L48" s="52"/>
      <c r="M48" s="52"/>
      <c r="N48" s="52"/>
      <c r="O48" s="52"/>
      <c r="P48" s="52"/>
      <c r="Q48" s="52"/>
      <c r="R48" s="52"/>
      <c r="S48" s="52"/>
      <c r="T48" s="52"/>
      <c r="U48" s="52"/>
      <c r="V48" s="52"/>
      <c r="W48" s="52"/>
    </row>
    <row r="49" spans="1:23" ht="12.75">
      <c r="A49" s="52"/>
      <c r="B49" s="52"/>
      <c r="C49" s="52"/>
      <c r="D49" s="52"/>
      <c r="E49" s="52"/>
      <c r="F49" s="52"/>
      <c r="G49" s="52"/>
      <c r="H49" s="52"/>
      <c r="I49" s="52"/>
      <c r="J49" s="52"/>
      <c r="K49" s="52"/>
      <c r="L49" s="52"/>
      <c r="M49" s="52"/>
      <c r="N49" s="52"/>
      <c r="O49" s="52"/>
      <c r="P49" s="52"/>
      <c r="Q49" s="52"/>
      <c r="R49" s="52"/>
      <c r="S49" s="52"/>
      <c r="T49" s="52"/>
      <c r="U49" s="52"/>
      <c r="V49" s="52"/>
      <c r="W49" s="52"/>
    </row>
    <row r="50" spans="1:23" ht="12.75">
      <c r="A50" s="52"/>
      <c r="B50" s="52"/>
      <c r="C50" s="52"/>
      <c r="D50" s="52"/>
      <c r="E50" s="52"/>
      <c r="F50" s="52"/>
      <c r="G50" s="52"/>
      <c r="H50" s="52"/>
      <c r="I50" s="52"/>
      <c r="J50" s="52"/>
      <c r="K50" s="52"/>
      <c r="L50" s="52"/>
      <c r="M50" s="52"/>
      <c r="N50" s="52"/>
      <c r="O50" s="52"/>
      <c r="P50" s="52"/>
      <c r="Q50" s="52"/>
      <c r="R50" s="52"/>
      <c r="S50" s="52"/>
      <c r="T50" s="52"/>
      <c r="U50" s="52"/>
      <c r="V50" s="52"/>
      <c r="W50" s="52"/>
    </row>
    <row r="51" spans="1:23" ht="12.75">
      <c r="A51" s="52"/>
      <c r="B51" s="52"/>
      <c r="C51" s="52"/>
      <c r="D51" s="52"/>
      <c r="E51" s="52"/>
      <c r="F51" s="52"/>
      <c r="G51" s="52"/>
      <c r="H51" s="52"/>
      <c r="I51" s="52"/>
      <c r="J51" s="52"/>
      <c r="K51" s="52"/>
      <c r="L51" s="52"/>
      <c r="M51" s="52"/>
      <c r="N51" s="52"/>
      <c r="O51" s="52"/>
      <c r="P51" s="52"/>
      <c r="Q51" s="52"/>
      <c r="R51" s="52"/>
      <c r="S51" s="52"/>
      <c r="T51" s="52"/>
      <c r="U51" s="52"/>
      <c r="V51" s="52"/>
      <c r="W51" s="52"/>
    </row>
    <row r="52" spans="1:23" ht="12.75">
      <c r="A52" s="52"/>
      <c r="B52" s="52"/>
      <c r="C52" s="52"/>
      <c r="D52" s="52"/>
      <c r="E52" s="52"/>
      <c r="F52" s="52"/>
      <c r="G52" s="52"/>
      <c r="H52" s="52"/>
      <c r="I52" s="52"/>
      <c r="J52" s="52"/>
      <c r="K52" s="52"/>
      <c r="L52" s="52"/>
      <c r="M52" s="52"/>
      <c r="N52" s="52"/>
      <c r="O52" s="52"/>
      <c r="P52" s="52"/>
      <c r="Q52" s="52"/>
      <c r="R52" s="52"/>
      <c r="S52" s="52"/>
      <c r="T52" s="52"/>
      <c r="U52" s="52"/>
      <c r="V52" s="52"/>
      <c r="W52" s="52"/>
    </row>
    <row r="53" spans="1:23" ht="12.75">
      <c r="A53" s="52"/>
      <c r="B53" s="52"/>
      <c r="C53" s="52"/>
      <c r="D53" s="52"/>
      <c r="E53" s="52"/>
      <c r="F53" s="52"/>
      <c r="G53" s="52"/>
      <c r="H53" s="52"/>
      <c r="I53" s="52"/>
      <c r="J53" s="52"/>
      <c r="K53" s="52"/>
      <c r="L53" s="52"/>
      <c r="M53" s="52"/>
      <c r="N53" s="52"/>
      <c r="O53" s="52"/>
      <c r="P53" s="52"/>
      <c r="Q53" s="52"/>
      <c r="R53" s="52"/>
      <c r="S53" s="52"/>
      <c r="T53" s="52"/>
      <c r="U53" s="52"/>
      <c r="V53" s="52"/>
      <c r="W53" s="52"/>
    </row>
    <row r="54" spans="1:23" ht="12.75">
      <c r="A54" s="52"/>
      <c r="B54" s="52"/>
      <c r="C54" s="52"/>
      <c r="D54" s="52"/>
      <c r="E54" s="52"/>
      <c r="F54" s="52"/>
      <c r="G54" s="52"/>
      <c r="H54" s="52"/>
      <c r="I54" s="52"/>
      <c r="J54" s="52"/>
      <c r="K54" s="52"/>
      <c r="L54" s="52"/>
      <c r="M54" s="52"/>
      <c r="N54" s="52"/>
      <c r="O54" s="52"/>
      <c r="P54" s="52"/>
      <c r="Q54" s="52"/>
      <c r="R54" s="52"/>
      <c r="S54" s="52"/>
      <c r="T54" s="52"/>
      <c r="U54" s="52"/>
      <c r="V54" s="52"/>
      <c r="W54" s="52"/>
    </row>
    <row r="55" spans="1:23" ht="12.75">
      <c r="A55" s="52"/>
      <c r="B55" s="52"/>
      <c r="C55" s="52"/>
      <c r="D55" s="52"/>
      <c r="E55" s="52"/>
      <c r="F55" s="52"/>
      <c r="G55" s="52"/>
      <c r="H55" s="52"/>
      <c r="I55" s="52"/>
      <c r="J55" s="52"/>
      <c r="K55" s="52"/>
      <c r="L55" s="52"/>
      <c r="M55" s="52"/>
      <c r="N55" s="52"/>
      <c r="O55" s="52"/>
      <c r="P55" s="52"/>
      <c r="Q55" s="52"/>
      <c r="R55" s="52"/>
      <c r="S55" s="52"/>
      <c r="T55" s="52"/>
      <c r="U55" s="52"/>
      <c r="V55" s="52"/>
      <c r="W55" s="52"/>
    </row>
    <row r="56" spans="1:23" ht="12.75">
      <c r="A56" s="52"/>
      <c r="B56" s="52"/>
      <c r="C56" s="52"/>
      <c r="D56" s="52"/>
      <c r="E56" s="52"/>
      <c r="F56" s="52"/>
      <c r="G56" s="52"/>
      <c r="H56" s="52"/>
      <c r="I56" s="52"/>
      <c r="J56" s="52"/>
      <c r="K56" s="52"/>
      <c r="L56" s="52"/>
      <c r="M56" s="52"/>
      <c r="N56" s="52"/>
      <c r="O56" s="52"/>
      <c r="P56" s="52"/>
      <c r="Q56" s="52"/>
      <c r="R56" s="52"/>
      <c r="S56" s="52"/>
      <c r="T56" s="52"/>
      <c r="U56" s="52"/>
      <c r="V56" s="52"/>
      <c r="W56" s="52"/>
    </row>
    <row r="57" spans="1:23" ht="12.75">
      <c r="A57" s="52"/>
      <c r="B57" s="52"/>
      <c r="C57" s="52"/>
      <c r="D57" s="52"/>
      <c r="E57" s="52"/>
      <c r="F57" s="52"/>
      <c r="G57" s="52"/>
      <c r="H57" s="52"/>
      <c r="I57" s="52"/>
      <c r="J57" s="52"/>
      <c r="K57" s="52"/>
      <c r="L57" s="52"/>
      <c r="M57" s="52"/>
      <c r="N57" s="52"/>
      <c r="O57" s="52"/>
      <c r="P57" s="52"/>
      <c r="Q57" s="52"/>
      <c r="R57" s="52"/>
      <c r="S57" s="52"/>
      <c r="T57" s="52"/>
      <c r="U57" s="52"/>
      <c r="V57" s="52"/>
      <c r="W57" s="52"/>
    </row>
    <row r="58" spans="1:23" ht="12.75">
      <c r="A58" s="52"/>
      <c r="B58" s="52"/>
      <c r="C58" s="52"/>
      <c r="D58" s="52"/>
      <c r="E58" s="52"/>
      <c r="F58" s="52"/>
      <c r="G58" s="52"/>
      <c r="H58" s="52"/>
      <c r="I58" s="52"/>
      <c r="J58" s="52"/>
      <c r="K58" s="52"/>
      <c r="L58" s="52"/>
      <c r="M58" s="52"/>
      <c r="N58" s="52"/>
      <c r="O58" s="52"/>
      <c r="P58" s="52"/>
      <c r="Q58" s="52"/>
      <c r="R58" s="52"/>
      <c r="S58" s="52"/>
      <c r="T58" s="52"/>
      <c r="U58" s="52"/>
      <c r="V58" s="52"/>
      <c r="W58" s="52"/>
    </row>
    <row r="59" spans="1:23" ht="12.75">
      <c r="A59" s="52"/>
      <c r="B59" s="52"/>
      <c r="C59" s="52"/>
      <c r="D59" s="52"/>
      <c r="E59" s="52"/>
      <c r="F59" s="52"/>
      <c r="G59" s="52"/>
      <c r="H59" s="52"/>
      <c r="I59" s="52"/>
      <c r="J59" s="52"/>
      <c r="K59" s="52"/>
      <c r="L59" s="52"/>
      <c r="M59" s="52"/>
      <c r="N59" s="52"/>
      <c r="O59" s="52"/>
      <c r="P59" s="52"/>
      <c r="Q59" s="52"/>
      <c r="R59" s="52"/>
      <c r="S59" s="52"/>
      <c r="T59" s="52"/>
      <c r="U59" s="52"/>
      <c r="V59" s="52"/>
      <c r="W59" s="52"/>
    </row>
    <row r="60" spans="1:23" ht="12.75">
      <c r="A60" s="52"/>
      <c r="B60" s="52"/>
      <c r="C60" s="52"/>
      <c r="D60" s="52"/>
      <c r="E60" s="52"/>
      <c r="F60" s="52"/>
      <c r="G60" s="52"/>
      <c r="H60" s="52"/>
      <c r="I60" s="52"/>
      <c r="J60" s="52"/>
      <c r="K60" s="52"/>
      <c r="L60" s="52"/>
      <c r="M60" s="52"/>
      <c r="N60" s="52"/>
      <c r="O60" s="52"/>
      <c r="P60" s="52"/>
      <c r="Q60" s="52"/>
      <c r="R60" s="52"/>
      <c r="S60" s="52"/>
      <c r="T60" s="52"/>
      <c r="U60" s="52"/>
      <c r="V60" s="52"/>
      <c r="W60" s="52"/>
    </row>
    <row r="61" spans="1:23" ht="12.75">
      <c r="A61" s="52"/>
      <c r="B61" s="52"/>
      <c r="C61" s="52"/>
      <c r="D61" s="52"/>
      <c r="E61" s="52"/>
      <c r="F61" s="52"/>
      <c r="G61" s="52"/>
      <c r="H61" s="52"/>
      <c r="I61" s="52"/>
      <c r="J61" s="52"/>
      <c r="K61" s="52"/>
      <c r="L61" s="52"/>
      <c r="M61" s="52"/>
      <c r="N61" s="52"/>
      <c r="O61" s="52"/>
      <c r="P61" s="52"/>
      <c r="Q61" s="52"/>
      <c r="R61" s="52"/>
      <c r="S61" s="52"/>
      <c r="T61" s="52"/>
      <c r="U61" s="52"/>
      <c r="V61" s="52"/>
      <c r="W61" s="52"/>
    </row>
    <row r="62" spans="1:23" ht="12.75">
      <c r="A62" s="52"/>
      <c r="B62" s="52"/>
      <c r="C62" s="52"/>
      <c r="D62" s="52"/>
      <c r="E62" s="52"/>
      <c r="F62" s="52"/>
      <c r="G62" s="52"/>
      <c r="H62" s="52"/>
      <c r="I62" s="52"/>
      <c r="J62" s="52"/>
      <c r="K62" s="52"/>
      <c r="L62" s="52"/>
      <c r="M62" s="52"/>
      <c r="N62" s="52"/>
      <c r="O62" s="52"/>
      <c r="P62" s="52"/>
      <c r="Q62" s="52"/>
      <c r="R62" s="52"/>
      <c r="S62" s="52"/>
      <c r="T62" s="52"/>
      <c r="U62" s="52"/>
      <c r="V62" s="52"/>
      <c r="W62" s="52"/>
    </row>
    <row r="63" spans="1:23" ht="12.75">
      <c r="A63" s="52"/>
      <c r="B63" s="52"/>
      <c r="C63" s="52"/>
      <c r="D63" s="52"/>
      <c r="E63" s="52"/>
      <c r="F63" s="52"/>
      <c r="G63" s="52"/>
      <c r="H63" s="52"/>
      <c r="I63" s="52"/>
      <c r="J63" s="52"/>
      <c r="K63" s="52"/>
      <c r="L63" s="52"/>
      <c r="M63" s="52"/>
      <c r="N63" s="52"/>
      <c r="O63" s="52"/>
      <c r="P63" s="52"/>
      <c r="Q63" s="52"/>
      <c r="R63" s="52"/>
      <c r="S63" s="52"/>
      <c r="T63" s="52"/>
      <c r="U63" s="52"/>
      <c r="V63" s="52"/>
      <c r="W63" s="52"/>
    </row>
    <row r="64" spans="1:23" ht="12.75">
      <c r="A64" s="52"/>
      <c r="B64" s="52"/>
      <c r="C64" s="52"/>
      <c r="D64" s="52"/>
      <c r="E64" s="52"/>
      <c r="F64" s="52"/>
      <c r="G64" s="52"/>
      <c r="H64" s="52"/>
      <c r="I64" s="52"/>
      <c r="J64" s="52"/>
      <c r="K64" s="52"/>
      <c r="L64" s="52"/>
      <c r="M64" s="52"/>
      <c r="N64" s="52"/>
      <c r="O64" s="52"/>
      <c r="P64" s="52"/>
      <c r="Q64" s="52"/>
      <c r="R64" s="52"/>
      <c r="S64" s="52"/>
      <c r="T64" s="52"/>
      <c r="U64" s="52"/>
      <c r="V64" s="52"/>
      <c r="W64" s="52"/>
    </row>
    <row r="65" spans="1:23" ht="12.75">
      <c r="A65" s="52"/>
      <c r="B65" s="52"/>
      <c r="C65" s="52"/>
      <c r="D65" s="52"/>
      <c r="E65" s="52"/>
      <c r="F65" s="52"/>
      <c r="G65" s="52"/>
      <c r="H65" s="52"/>
      <c r="I65" s="52"/>
      <c r="J65" s="52"/>
      <c r="K65" s="52"/>
      <c r="L65" s="52"/>
      <c r="M65" s="52"/>
      <c r="N65" s="52"/>
      <c r="O65" s="52"/>
      <c r="P65" s="52"/>
      <c r="Q65" s="52"/>
      <c r="R65" s="52"/>
      <c r="S65" s="52"/>
      <c r="T65" s="52"/>
      <c r="U65" s="52"/>
      <c r="V65" s="52"/>
      <c r="W65" s="52"/>
    </row>
    <row r="66" spans="1:23" ht="12.75">
      <c r="A66" s="52"/>
      <c r="B66" s="52"/>
      <c r="C66" s="52"/>
      <c r="D66" s="52"/>
      <c r="E66" s="52"/>
      <c r="F66" s="52"/>
      <c r="G66" s="52"/>
      <c r="H66" s="52"/>
      <c r="I66" s="52"/>
      <c r="J66" s="52"/>
      <c r="K66" s="52"/>
      <c r="L66" s="52"/>
      <c r="M66" s="52"/>
      <c r="N66" s="52"/>
      <c r="O66" s="52"/>
      <c r="P66" s="52"/>
      <c r="Q66" s="52"/>
      <c r="R66" s="52"/>
      <c r="S66" s="52"/>
      <c r="T66" s="52"/>
      <c r="U66" s="52"/>
      <c r="V66" s="52"/>
      <c r="W66" s="52"/>
    </row>
    <row r="67" spans="1:23" ht="12.75">
      <c r="A67" s="52"/>
      <c r="B67" s="52"/>
      <c r="C67" s="52"/>
      <c r="D67" s="52"/>
      <c r="E67" s="52"/>
      <c r="F67" s="52"/>
      <c r="G67" s="52"/>
      <c r="H67" s="52"/>
      <c r="I67" s="52"/>
      <c r="J67" s="52"/>
      <c r="K67" s="52"/>
      <c r="L67" s="52"/>
      <c r="M67" s="52"/>
      <c r="N67" s="52"/>
      <c r="O67" s="52"/>
      <c r="P67" s="52"/>
      <c r="Q67" s="52"/>
      <c r="R67" s="52"/>
      <c r="S67" s="52"/>
      <c r="T67" s="52"/>
      <c r="U67" s="52"/>
      <c r="V67" s="52"/>
      <c r="W67" s="52"/>
    </row>
    <row r="68" spans="1:23" ht="12.75">
      <c r="A68" s="52"/>
      <c r="B68" s="52"/>
      <c r="C68" s="52"/>
      <c r="D68" s="52"/>
      <c r="E68" s="52"/>
      <c r="F68" s="52"/>
      <c r="G68" s="52"/>
      <c r="H68" s="52"/>
      <c r="I68" s="52"/>
      <c r="J68" s="52"/>
      <c r="K68" s="52"/>
      <c r="L68" s="52"/>
      <c r="M68" s="52"/>
      <c r="N68" s="52"/>
      <c r="O68" s="52"/>
      <c r="P68" s="52"/>
      <c r="Q68" s="52"/>
      <c r="R68" s="52"/>
      <c r="S68" s="52"/>
      <c r="T68" s="52"/>
      <c r="U68" s="52"/>
      <c r="V68" s="52"/>
      <c r="W68" s="52"/>
    </row>
    <row r="69" spans="1:23" ht="12.75">
      <c r="A69" s="52"/>
      <c r="B69" s="52"/>
      <c r="C69" s="52"/>
      <c r="D69" s="52"/>
      <c r="E69" s="52"/>
      <c r="F69" s="52"/>
      <c r="G69" s="52"/>
      <c r="H69" s="52"/>
      <c r="I69" s="52"/>
      <c r="J69" s="52"/>
      <c r="K69" s="52"/>
      <c r="L69" s="52"/>
      <c r="M69" s="52"/>
      <c r="N69" s="52"/>
      <c r="O69" s="52"/>
      <c r="P69" s="52"/>
      <c r="Q69" s="52"/>
      <c r="R69" s="52"/>
      <c r="S69" s="52"/>
      <c r="T69" s="52"/>
      <c r="U69" s="52"/>
      <c r="V69" s="52"/>
      <c r="W69" s="52"/>
    </row>
    <row r="70" spans="1:23" ht="12.75">
      <c r="A70" s="52"/>
      <c r="B70" s="52"/>
      <c r="C70" s="52"/>
      <c r="D70" s="52"/>
      <c r="E70" s="52"/>
      <c r="F70" s="52"/>
      <c r="G70" s="52"/>
      <c r="H70" s="52"/>
      <c r="I70" s="52"/>
      <c r="J70" s="52"/>
      <c r="K70" s="52"/>
      <c r="L70" s="52"/>
      <c r="M70" s="52"/>
      <c r="N70" s="52"/>
      <c r="O70" s="52"/>
      <c r="P70" s="52"/>
      <c r="Q70" s="52"/>
      <c r="R70" s="52"/>
      <c r="S70" s="52"/>
      <c r="T70" s="52"/>
      <c r="U70" s="52"/>
      <c r="V70" s="52"/>
      <c r="W70" s="52"/>
    </row>
    <row r="71" spans="1:23" ht="12.75">
      <c r="A71" s="52"/>
      <c r="B71" s="52"/>
      <c r="C71" s="52"/>
      <c r="D71" s="52"/>
      <c r="E71" s="52"/>
      <c r="F71" s="52"/>
      <c r="G71" s="52"/>
      <c r="H71" s="52"/>
      <c r="I71" s="52"/>
      <c r="J71" s="52"/>
      <c r="K71" s="52"/>
      <c r="L71" s="52"/>
      <c r="M71" s="52"/>
      <c r="N71" s="52"/>
      <c r="O71" s="52"/>
      <c r="P71" s="52"/>
      <c r="Q71" s="52"/>
      <c r="R71" s="52"/>
      <c r="S71" s="52"/>
      <c r="T71" s="52"/>
      <c r="U71" s="52"/>
      <c r="V71" s="52"/>
      <c r="W71" s="52"/>
    </row>
    <row r="72" spans="1:23" ht="12.75">
      <c r="A72" s="52"/>
      <c r="B72" s="52"/>
      <c r="C72" s="52"/>
      <c r="D72" s="52"/>
      <c r="E72" s="52"/>
      <c r="F72" s="52"/>
      <c r="G72" s="52"/>
      <c r="H72" s="52"/>
      <c r="I72" s="52"/>
      <c r="J72" s="52"/>
      <c r="K72" s="52"/>
      <c r="L72" s="52"/>
      <c r="M72" s="52"/>
      <c r="N72" s="52"/>
      <c r="O72" s="52"/>
      <c r="P72" s="52"/>
      <c r="Q72" s="52"/>
      <c r="R72" s="52"/>
      <c r="S72" s="52"/>
      <c r="T72" s="52"/>
      <c r="U72" s="52"/>
      <c r="V72" s="52"/>
      <c r="W72" s="52"/>
    </row>
    <row r="73" spans="1:23" ht="12.75">
      <c r="A73" s="52"/>
      <c r="B73" s="52"/>
      <c r="C73" s="52"/>
      <c r="D73" s="52"/>
      <c r="E73" s="52"/>
      <c r="F73" s="52"/>
      <c r="G73" s="52"/>
      <c r="H73" s="52"/>
      <c r="I73" s="52"/>
      <c r="J73" s="52"/>
      <c r="K73" s="52"/>
      <c r="L73" s="52"/>
      <c r="M73" s="52"/>
      <c r="N73" s="52"/>
      <c r="O73" s="52"/>
      <c r="P73" s="52"/>
      <c r="Q73" s="52"/>
      <c r="R73" s="52"/>
      <c r="S73" s="52"/>
      <c r="T73" s="52"/>
      <c r="U73" s="52"/>
      <c r="V73" s="52"/>
      <c r="W73" s="52"/>
    </row>
    <row r="74" spans="1:23" ht="12.75">
      <c r="A74" s="52"/>
      <c r="B74" s="52"/>
      <c r="C74" s="52"/>
      <c r="D74" s="52"/>
      <c r="E74" s="52"/>
      <c r="F74" s="52"/>
      <c r="G74" s="52"/>
      <c r="H74" s="52"/>
      <c r="I74" s="52"/>
      <c r="J74" s="52"/>
      <c r="K74" s="52"/>
      <c r="L74" s="52"/>
      <c r="M74" s="52"/>
      <c r="N74" s="52"/>
      <c r="O74" s="52"/>
      <c r="P74" s="52"/>
      <c r="Q74" s="52"/>
      <c r="R74" s="52"/>
      <c r="S74" s="52"/>
      <c r="T74" s="52"/>
      <c r="U74" s="52"/>
      <c r="V74" s="52"/>
      <c r="W74" s="52"/>
    </row>
    <row r="75" spans="1:23" ht="12.75">
      <c r="A75" s="52"/>
      <c r="B75" s="52"/>
      <c r="C75" s="52"/>
      <c r="D75" s="52"/>
      <c r="E75" s="52"/>
      <c r="F75" s="52"/>
      <c r="G75" s="52"/>
      <c r="H75" s="52"/>
      <c r="I75" s="52"/>
      <c r="J75" s="52"/>
      <c r="K75" s="52"/>
      <c r="L75" s="52"/>
      <c r="M75" s="52"/>
      <c r="N75" s="52"/>
      <c r="O75" s="52"/>
      <c r="P75" s="52"/>
      <c r="Q75" s="52"/>
      <c r="R75" s="52"/>
      <c r="S75" s="52"/>
      <c r="T75" s="52"/>
      <c r="U75" s="52"/>
      <c r="V75" s="52"/>
      <c r="W75" s="52"/>
    </row>
    <row r="76" spans="1:23" ht="12.75">
      <c r="A76" s="52"/>
      <c r="B76" s="52"/>
      <c r="C76" s="52"/>
      <c r="D76" s="52"/>
      <c r="E76" s="52"/>
      <c r="F76" s="52"/>
      <c r="G76" s="52"/>
      <c r="H76" s="52"/>
      <c r="I76" s="52"/>
      <c r="J76" s="52"/>
      <c r="K76" s="52"/>
      <c r="L76" s="52"/>
      <c r="M76" s="52"/>
      <c r="N76" s="52"/>
      <c r="O76" s="52"/>
      <c r="P76" s="52"/>
      <c r="Q76" s="52"/>
      <c r="R76" s="52"/>
      <c r="S76" s="52"/>
      <c r="T76" s="52"/>
      <c r="U76" s="52"/>
      <c r="V76" s="52"/>
      <c r="W76" s="52"/>
    </row>
    <row r="77" spans="1:23" ht="12.75">
      <c r="A77" s="52"/>
      <c r="B77" s="52"/>
      <c r="C77" s="52"/>
      <c r="D77" s="52"/>
      <c r="E77" s="52"/>
      <c r="F77" s="52"/>
      <c r="G77" s="52"/>
      <c r="H77" s="52"/>
      <c r="I77" s="52"/>
      <c r="J77" s="52"/>
      <c r="K77" s="52"/>
      <c r="L77" s="52"/>
      <c r="M77" s="52"/>
      <c r="N77" s="52"/>
      <c r="O77" s="52"/>
      <c r="P77" s="52"/>
      <c r="Q77" s="52"/>
      <c r="R77" s="52"/>
      <c r="S77" s="52"/>
      <c r="T77" s="52"/>
      <c r="U77" s="52"/>
      <c r="V77" s="52"/>
      <c r="W77" s="52"/>
    </row>
    <row r="78" spans="1:23" ht="12.75">
      <c r="A78" s="52"/>
      <c r="B78" s="52"/>
      <c r="C78" s="52"/>
      <c r="D78" s="52"/>
      <c r="E78" s="52"/>
      <c r="F78" s="52"/>
      <c r="G78" s="52"/>
      <c r="H78" s="52"/>
      <c r="I78" s="52"/>
      <c r="J78" s="52"/>
      <c r="K78" s="52"/>
      <c r="L78" s="52"/>
      <c r="M78" s="52"/>
      <c r="N78" s="52"/>
      <c r="O78" s="52"/>
      <c r="P78" s="52"/>
      <c r="Q78" s="52"/>
      <c r="R78" s="52"/>
      <c r="S78" s="52"/>
      <c r="T78" s="52"/>
      <c r="U78" s="52"/>
      <c r="V78" s="52"/>
      <c r="W78" s="52"/>
    </row>
    <row r="79" spans="1:23" ht="12.75">
      <c r="A79" s="52"/>
      <c r="B79" s="52"/>
      <c r="C79" s="52"/>
      <c r="D79" s="52"/>
      <c r="E79" s="52"/>
      <c r="F79" s="52"/>
      <c r="G79" s="52"/>
      <c r="H79" s="52"/>
      <c r="I79" s="52"/>
      <c r="J79" s="52"/>
      <c r="K79" s="52"/>
      <c r="L79" s="52"/>
      <c r="M79" s="52"/>
      <c r="N79" s="52"/>
      <c r="O79" s="52"/>
      <c r="P79" s="52"/>
      <c r="Q79" s="52"/>
      <c r="R79" s="52"/>
      <c r="S79" s="52"/>
      <c r="T79" s="52"/>
      <c r="U79" s="52"/>
      <c r="V79" s="52"/>
      <c r="W79" s="52"/>
    </row>
    <row r="80" spans="1:23" ht="12.75">
      <c r="A80" s="52"/>
      <c r="B80" s="52"/>
      <c r="C80" s="52"/>
      <c r="D80" s="52"/>
      <c r="E80" s="52"/>
      <c r="F80" s="52"/>
      <c r="G80" s="52"/>
      <c r="H80" s="52"/>
      <c r="I80" s="52"/>
      <c r="J80" s="52"/>
      <c r="K80" s="52"/>
      <c r="L80" s="52"/>
      <c r="M80" s="52"/>
      <c r="N80" s="52"/>
      <c r="O80" s="52"/>
      <c r="P80" s="52"/>
      <c r="Q80" s="52"/>
      <c r="R80" s="52"/>
      <c r="S80" s="52"/>
      <c r="T80" s="52"/>
      <c r="U80" s="52"/>
      <c r="V80" s="52"/>
      <c r="W80" s="52"/>
    </row>
    <row r="81" spans="1:23" ht="12.75">
      <c r="A81" s="52"/>
      <c r="B81" s="52"/>
      <c r="C81" s="52"/>
      <c r="D81" s="52"/>
      <c r="E81" s="52"/>
      <c r="F81" s="52"/>
      <c r="G81" s="52"/>
      <c r="H81" s="52"/>
      <c r="I81" s="52"/>
      <c r="J81" s="52"/>
      <c r="K81" s="52"/>
      <c r="L81" s="52"/>
      <c r="M81" s="52"/>
      <c r="N81" s="52"/>
      <c r="O81" s="52"/>
      <c r="P81" s="52"/>
      <c r="Q81" s="52"/>
      <c r="R81" s="52"/>
      <c r="S81" s="52"/>
      <c r="T81" s="52"/>
      <c r="U81" s="52"/>
      <c r="V81" s="52"/>
      <c r="W81" s="52"/>
    </row>
    <row r="82" spans="1:23" ht="12.75">
      <c r="A82" s="52"/>
      <c r="B82" s="52"/>
      <c r="C82" s="52"/>
      <c r="D82" s="52"/>
      <c r="E82" s="52"/>
      <c r="F82" s="52"/>
      <c r="G82" s="52"/>
      <c r="H82" s="52"/>
      <c r="I82" s="52"/>
      <c r="J82" s="52"/>
      <c r="K82" s="52"/>
      <c r="L82" s="52"/>
      <c r="M82" s="52"/>
      <c r="N82" s="52"/>
      <c r="O82" s="52"/>
      <c r="P82" s="52"/>
      <c r="Q82" s="52"/>
      <c r="R82" s="52"/>
      <c r="S82" s="52"/>
      <c r="T82" s="52"/>
      <c r="U82" s="52"/>
      <c r="V82" s="52"/>
      <c r="W82" s="52"/>
    </row>
    <row r="83" spans="1:23" ht="12.75">
      <c r="A83" s="52"/>
      <c r="B83" s="52"/>
      <c r="C83" s="52"/>
      <c r="D83" s="52"/>
      <c r="E83" s="52"/>
      <c r="F83" s="52"/>
      <c r="G83" s="52"/>
      <c r="H83" s="52"/>
      <c r="I83" s="52"/>
      <c r="J83" s="52"/>
      <c r="K83" s="52"/>
      <c r="L83" s="52"/>
      <c r="M83" s="52"/>
      <c r="N83" s="52"/>
      <c r="O83" s="52"/>
      <c r="P83" s="52"/>
      <c r="Q83" s="52"/>
      <c r="R83" s="52"/>
      <c r="S83" s="52"/>
      <c r="T83" s="52"/>
      <c r="U83" s="52"/>
      <c r="V83" s="52"/>
      <c r="W83" s="52"/>
    </row>
    <row r="84" spans="1:23" ht="12.75">
      <c r="A84" s="52"/>
      <c r="B84" s="52"/>
      <c r="C84" s="52"/>
      <c r="D84" s="52"/>
      <c r="E84" s="52"/>
      <c r="F84" s="52"/>
      <c r="G84" s="52"/>
      <c r="H84" s="52"/>
      <c r="I84" s="52"/>
      <c r="J84" s="52"/>
      <c r="K84" s="52"/>
      <c r="L84" s="52"/>
      <c r="M84" s="52"/>
      <c r="N84" s="52"/>
      <c r="O84" s="52"/>
      <c r="P84" s="52"/>
      <c r="Q84" s="52"/>
      <c r="R84" s="52"/>
      <c r="S84" s="52"/>
      <c r="T84" s="52"/>
      <c r="U84" s="52"/>
      <c r="V84" s="52"/>
      <c r="W84" s="52"/>
    </row>
    <row r="85" spans="1:23" ht="12.75">
      <c r="A85" s="52"/>
      <c r="B85" s="52"/>
      <c r="C85" s="52"/>
      <c r="D85" s="52"/>
      <c r="E85" s="52"/>
      <c r="F85" s="52"/>
      <c r="G85" s="52"/>
      <c r="H85" s="52"/>
      <c r="I85" s="52"/>
      <c r="J85" s="52"/>
      <c r="K85" s="52"/>
      <c r="L85" s="52"/>
      <c r="M85" s="52"/>
      <c r="N85" s="52"/>
      <c r="O85" s="52"/>
      <c r="P85" s="52"/>
      <c r="Q85" s="52"/>
      <c r="R85" s="52"/>
      <c r="S85" s="52"/>
      <c r="T85" s="52"/>
      <c r="U85" s="52"/>
      <c r="V85" s="52"/>
      <c r="W85" s="52"/>
    </row>
    <row r="86" spans="1:23" ht="12.75">
      <c r="A86" s="52"/>
      <c r="B86" s="52"/>
      <c r="C86" s="52"/>
      <c r="D86" s="52"/>
      <c r="E86" s="52"/>
      <c r="F86" s="52"/>
      <c r="G86" s="52"/>
      <c r="H86" s="52"/>
      <c r="I86" s="52"/>
      <c r="J86" s="52"/>
      <c r="K86" s="52"/>
      <c r="L86" s="52"/>
      <c r="M86" s="52"/>
      <c r="N86" s="52"/>
      <c r="O86" s="52"/>
      <c r="P86" s="52"/>
      <c r="Q86" s="52"/>
      <c r="R86" s="52"/>
      <c r="S86" s="52"/>
      <c r="T86" s="52"/>
      <c r="U86" s="52"/>
      <c r="V86" s="52"/>
      <c r="W86" s="52"/>
    </row>
    <row r="87" spans="1:23" ht="12.75">
      <c r="A87" s="52"/>
      <c r="B87" s="52"/>
      <c r="C87" s="52"/>
      <c r="D87" s="52"/>
      <c r="E87" s="52"/>
      <c r="F87" s="52"/>
      <c r="G87" s="52"/>
      <c r="H87" s="52"/>
      <c r="I87" s="52"/>
      <c r="J87" s="52"/>
      <c r="K87" s="52"/>
      <c r="L87" s="52"/>
      <c r="M87" s="52"/>
      <c r="N87" s="52"/>
      <c r="O87" s="52"/>
      <c r="P87" s="52"/>
      <c r="Q87" s="52"/>
      <c r="R87" s="52"/>
      <c r="S87" s="52"/>
      <c r="T87" s="52"/>
      <c r="U87" s="52"/>
      <c r="V87" s="52"/>
      <c r="W87" s="52"/>
    </row>
    <row r="88" spans="1:23" ht="12.75">
      <c r="A88" s="52"/>
      <c r="B88" s="52"/>
      <c r="C88" s="52"/>
      <c r="D88" s="52"/>
      <c r="E88" s="52"/>
      <c r="F88" s="52"/>
      <c r="G88" s="52"/>
      <c r="H88" s="52"/>
      <c r="I88" s="52"/>
      <c r="J88" s="52"/>
      <c r="K88" s="52"/>
      <c r="L88" s="52"/>
      <c r="M88" s="52"/>
      <c r="N88" s="52"/>
      <c r="O88" s="52"/>
      <c r="P88" s="52"/>
      <c r="Q88" s="52"/>
      <c r="R88" s="52"/>
      <c r="S88" s="52"/>
      <c r="T88" s="52"/>
      <c r="U88" s="52"/>
      <c r="V88" s="52"/>
      <c r="W88" s="52"/>
    </row>
    <row r="89" spans="1:23" ht="12.75">
      <c r="A89" s="52"/>
      <c r="B89" s="52"/>
      <c r="C89" s="52"/>
      <c r="D89" s="52"/>
      <c r="E89" s="52"/>
      <c r="F89" s="52"/>
      <c r="G89" s="52"/>
      <c r="H89" s="52"/>
      <c r="I89" s="52"/>
      <c r="J89" s="52"/>
      <c r="K89" s="52"/>
      <c r="L89" s="52"/>
      <c r="M89" s="52"/>
      <c r="N89" s="52"/>
      <c r="O89" s="52"/>
      <c r="P89" s="52"/>
      <c r="Q89" s="52"/>
      <c r="R89" s="52"/>
      <c r="S89" s="52"/>
      <c r="T89" s="52"/>
      <c r="U89" s="52"/>
      <c r="V89" s="52"/>
      <c r="W89" s="52"/>
    </row>
    <row r="90" spans="1:23" ht="12.75">
      <c r="A90" s="52"/>
      <c r="B90" s="52"/>
      <c r="C90" s="52"/>
      <c r="D90" s="52"/>
      <c r="E90" s="52"/>
      <c r="F90" s="52"/>
      <c r="G90" s="52"/>
      <c r="H90" s="52"/>
      <c r="I90" s="52"/>
      <c r="J90" s="52"/>
      <c r="K90" s="52"/>
      <c r="L90" s="52"/>
      <c r="M90" s="52"/>
      <c r="N90" s="52"/>
      <c r="O90" s="52"/>
      <c r="P90" s="52"/>
      <c r="Q90" s="52"/>
      <c r="R90" s="52"/>
      <c r="S90" s="52"/>
      <c r="T90" s="52"/>
      <c r="U90" s="52"/>
      <c r="V90" s="52"/>
      <c r="W90" s="52"/>
    </row>
    <row r="91" spans="1:23" ht="12.75">
      <c r="A91" s="52"/>
      <c r="B91" s="52"/>
      <c r="C91" s="52"/>
      <c r="D91" s="52"/>
      <c r="E91" s="52"/>
      <c r="F91" s="52"/>
      <c r="G91" s="52"/>
      <c r="H91" s="52"/>
      <c r="I91" s="52"/>
      <c r="J91" s="52"/>
      <c r="K91" s="52"/>
      <c r="L91" s="52"/>
      <c r="M91" s="52"/>
      <c r="N91" s="52"/>
      <c r="O91" s="52"/>
      <c r="P91" s="52"/>
      <c r="Q91" s="52"/>
      <c r="R91" s="52"/>
      <c r="S91" s="52"/>
      <c r="T91" s="52"/>
      <c r="U91" s="52"/>
      <c r="V91" s="52"/>
      <c r="W91" s="52"/>
    </row>
    <row r="92" spans="1:23" ht="12.75">
      <c r="A92" s="52"/>
      <c r="B92" s="52"/>
      <c r="C92" s="52"/>
      <c r="D92" s="52"/>
      <c r="E92" s="52"/>
      <c r="F92" s="52"/>
      <c r="G92" s="52"/>
      <c r="H92" s="52"/>
      <c r="I92" s="52"/>
      <c r="J92" s="52"/>
      <c r="K92" s="52"/>
      <c r="L92" s="52"/>
      <c r="M92" s="52"/>
      <c r="N92" s="52"/>
      <c r="O92" s="52"/>
      <c r="P92" s="52"/>
      <c r="Q92" s="52"/>
      <c r="R92" s="52"/>
      <c r="S92" s="52"/>
      <c r="T92" s="52"/>
      <c r="U92" s="52"/>
      <c r="V92" s="52"/>
      <c r="W92" s="52"/>
    </row>
    <row r="93" spans="1:23" ht="12.75">
      <c r="A93" s="52"/>
      <c r="B93" s="52"/>
      <c r="C93" s="52"/>
      <c r="D93" s="52"/>
      <c r="E93" s="52"/>
      <c r="F93" s="52"/>
      <c r="G93" s="52"/>
      <c r="H93" s="52"/>
      <c r="I93" s="52"/>
      <c r="J93" s="52"/>
      <c r="K93" s="52"/>
      <c r="L93" s="52"/>
      <c r="M93" s="52"/>
      <c r="N93" s="52"/>
      <c r="O93" s="52"/>
      <c r="P93" s="52"/>
      <c r="Q93" s="52"/>
      <c r="R93" s="52"/>
      <c r="S93" s="52"/>
      <c r="T93" s="52"/>
      <c r="U93" s="52"/>
      <c r="V93" s="52"/>
      <c r="W93" s="52"/>
    </row>
    <row r="94" spans="1:23" ht="12.75">
      <c r="A94" s="52"/>
      <c r="B94" s="52"/>
      <c r="C94" s="52"/>
      <c r="D94" s="52"/>
      <c r="E94" s="52"/>
      <c r="F94" s="52"/>
      <c r="G94" s="52"/>
      <c r="H94" s="52"/>
      <c r="I94" s="52"/>
      <c r="J94" s="52"/>
      <c r="K94" s="52"/>
      <c r="L94" s="52"/>
      <c r="M94" s="52"/>
      <c r="N94" s="52"/>
      <c r="O94" s="52"/>
      <c r="P94" s="52"/>
      <c r="Q94" s="52"/>
      <c r="R94" s="52"/>
      <c r="S94" s="52"/>
      <c r="T94" s="52"/>
      <c r="U94" s="52"/>
      <c r="V94" s="52"/>
      <c r="W94" s="52"/>
    </row>
    <row r="95" spans="1:23" ht="12.75">
      <c r="A95" s="52"/>
      <c r="B95" s="52"/>
      <c r="C95" s="52"/>
      <c r="D95" s="52"/>
      <c r="E95" s="52"/>
      <c r="F95" s="52"/>
      <c r="G95" s="52"/>
      <c r="H95" s="52"/>
      <c r="I95" s="52"/>
      <c r="J95" s="52"/>
      <c r="K95" s="52"/>
      <c r="L95" s="52"/>
      <c r="M95" s="52"/>
      <c r="N95" s="52"/>
      <c r="O95" s="52"/>
      <c r="P95" s="52"/>
      <c r="Q95" s="52"/>
      <c r="R95" s="52"/>
      <c r="S95" s="52"/>
      <c r="T95" s="52"/>
      <c r="U95" s="52"/>
      <c r="V95" s="52"/>
      <c r="W95" s="52"/>
    </row>
    <row r="96" spans="1:23" ht="12.75">
      <c r="A96" s="52"/>
      <c r="B96" s="52"/>
      <c r="C96" s="52"/>
      <c r="D96" s="52"/>
      <c r="E96" s="52"/>
      <c r="F96" s="52"/>
      <c r="G96" s="52"/>
      <c r="H96" s="52"/>
      <c r="I96" s="52"/>
      <c r="J96" s="52"/>
      <c r="K96" s="52"/>
      <c r="L96" s="52"/>
      <c r="M96" s="52"/>
      <c r="N96" s="52"/>
      <c r="O96" s="52"/>
      <c r="P96" s="52"/>
      <c r="Q96" s="52"/>
      <c r="R96" s="52"/>
      <c r="S96" s="52"/>
      <c r="T96" s="52"/>
      <c r="U96" s="52"/>
      <c r="V96" s="52"/>
      <c r="W96" s="52"/>
    </row>
    <row r="97" spans="1:23" ht="12.75">
      <c r="A97" s="52"/>
      <c r="B97" s="52"/>
      <c r="C97" s="52"/>
      <c r="D97" s="52"/>
      <c r="E97" s="52"/>
      <c r="F97" s="52"/>
      <c r="G97" s="52"/>
      <c r="H97" s="52"/>
      <c r="I97" s="52"/>
      <c r="J97" s="52"/>
      <c r="K97" s="52"/>
      <c r="L97" s="52"/>
      <c r="M97" s="52"/>
      <c r="N97" s="52"/>
      <c r="O97" s="52"/>
      <c r="P97" s="52"/>
      <c r="Q97" s="52"/>
      <c r="R97" s="52"/>
      <c r="S97" s="52"/>
      <c r="T97" s="52"/>
      <c r="U97" s="52"/>
      <c r="V97" s="52"/>
      <c r="W97" s="52"/>
    </row>
    <row r="98" spans="1:23" ht="12.75">
      <c r="A98" s="52"/>
      <c r="B98" s="52"/>
      <c r="C98" s="52"/>
      <c r="D98" s="52"/>
      <c r="E98" s="52"/>
      <c r="F98" s="52"/>
      <c r="G98" s="52"/>
      <c r="H98" s="52"/>
      <c r="I98" s="52"/>
      <c r="J98" s="52"/>
      <c r="K98" s="52"/>
      <c r="L98" s="52"/>
      <c r="M98" s="52"/>
      <c r="N98" s="52"/>
      <c r="O98" s="52"/>
      <c r="P98" s="52"/>
      <c r="Q98" s="52"/>
      <c r="R98" s="52"/>
      <c r="S98" s="52"/>
      <c r="T98" s="52"/>
      <c r="U98" s="52"/>
      <c r="V98" s="52"/>
      <c r="W98" s="52"/>
    </row>
    <row r="99" spans="1:23" ht="12.75">
      <c r="A99" s="52"/>
      <c r="B99" s="52"/>
      <c r="C99" s="52"/>
      <c r="D99" s="52"/>
      <c r="E99" s="52"/>
      <c r="F99" s="52"/>
      <c r="G99" s="52"/>
      <c r="H99" s="52"/>
      <c r="I99" s="52"/>
      <c r="J99" s="52"/>
      <c r="K99" s="52"/>
      <c r="L99" s="52"/>
      <c r="M99" s="52"/>
      <c r="N99" s="52"/>
      <c r="O99" s="52"/>
      <c r="P99" s="52"/>
      <c r="Q99" s="52"/>
      <c r="R99" s="52"/>
      <c r="S99" s="52"/>
      <c r="T99" s="52"/>
      <c r="U99" s="52"/>
      <c r="V99" s="52"/>
      <c r="W99" s="52"/>
    </row>
    <row r="100" spans="1:23" ht="12.75">
      <c r="A100" s="52"/>
      <c r="B100" s="52"/>
      <c r="C100" s="52"/>
      <c r="D100" s="52"/>
      <c r="E100" s="52"/>
      <c r="F100" s="52"/>
      <c r="G100" s="52"/>
      <c r="H100" s="52"/>
      <c r="I100" s="52"/>
      <c r="J100" s="52"/>
      <c r="K100" s="52"/>
      <c r="L100" s="52"/>
      <c r="M100" s="52"/>
      <c r="N100" s="52"/>
      <c r="O100" s="52"/>
      <c r="P100" s="52"/>
      <c r="Q100" s="52"/>
      <c r="R100" s="52"/>
      <c r="S100" s="52"/>
      <c r="T100" s="52"/>
      <c r="U100" s="52"/>
      <c r="V100" s="52"/>
      <c r="W100" s="52"/>
    </row>
    <row r="101" spans="1:23" ht="12.75">
      <c r="A101" s="52"/>
      <c r="B101" s="52"/>
      <c r="C101" s="52"/>
      <c r="D101" s="52"/>
      <c r="E101" s="52"/>
      <c r="F101" s="52"/>
      <c r="G101" s="52"/>
      <c r="H101" s="52"/>
      <c r="I101" s="52"/>
      <c r="J101" s="52"/>
      <c r="K101" s="52"/>
      <c r="L101" s="52"/>
      <c r="M101" s="52"/>
      <c r="N101" s="52"/>
      <c r="O101" s="52"/>
      <c r="P101" s="52"/>
      <c r="Q101" s="52"/>
      <c r="R101" s="52"/>
      <c r="S101" s="52"/>
      <c r="T101" s="52"/>
      <c r="U101" s="52"/>
      <c r="V101" s="52"/>
      <c r="W101" s="52"/>
    </row>
    <row r="102" spans="1:23" ht="12.75">
      <c r="A102" s="52"/>
      <c r="B102" s="52"/>
      <c r="C102" s="52"/>
      <c r="D102" s="52"/>
      <c r="E102" s="52"/>
      <c r="F102" s="52"/>
      <c r="G102" s="52"/>
      <c r="H102" s="52"/>
      <c r="I102" s="52"/>
      <c r="J102" s="52"/>
      <c r="K102" s="52"/>
      <c r="L102" s="52"/>
      <c r="M102" s="52"/>
      <c r="N102" s="52"/>
      <c r="O102" s="52"/>
      <c r="P102" s="52"/>
      <c r="Q102" s="52"/>
      <c r="R102" s="52"/>
      <c r="S102" s="52"/>
      <c r="T102" s="52"/>
      <c r="U102" s="52"/>
      <c r="V102" s="52"/>
      <c r="W102" s="52"/>
    </row>
    <row r="103" spans="1:23" ht="12.75">
      <c r="A103" s="52"/>
      <c r="B103" s="52"/>
      <c r="C103" s="52"/>
      <c r="D103" s="52"/>
      <c r="E103" s="52"/>
      <c r="F103" s="52"/>
      <c r="G103" s="52"/>
      <c r="H103" s="52"/>
      <c r="I103" s="52"/>
      <c r="J103" s="52"/>
      <c r="K103" s="52"/>
      <c r="L103" s="52"/>
      <c r="M103" s="52"/>
      <c r="N103" s="52"/>
      <c r="O103" s="52"/>
      <c r="P103" s="52"/>
      <c r="Q103" s="52"/>
      <c r="R103" s="52"/>
      <c r="S103" s="52"/>
      <c r="T103" s="52"/>
      <c r="U103" s="52"/>
      <c r="V103" s="52"/>
      <c r="W103" s="52"/>
    </row>
    <row r="104" spans="1:23" ht="12.75">
      <c r="A104" s="52"/>
      <c r="B104" s="52"/>
      <c r="C104" s="52"/>
      <c r="D104" s="52"/>
      <c r="E104" s="52"/>
      <c r="F104" s="52"/>
      <c r="G104" s="52"/>
      <c r="H104" s="52"/>
      <c r="I104" s="52"/>
      <c r="J104" s="52"/>
      <c r="K104" s="52"/>
      <c r="L104" s="52"/>
      <c r="M104" s="52"/>
      <c r="N104" s="52"/>
      <c r="O104" s="52"/>
      <c r="P104" s="52"/>
      <c r="Q104" s="52"/>
      <c r="R104" s="52"/>
      <c r="S104" s="52"/>
      <c r="T104" s="52"/>
      <c r="U104" s="52"/>
      <c r="V104" s="52"/>
      <c r="W104" s="52"/>
    </row>
    <row r="105" spans="1:23" ht="12.75">
      <c r="A105" s="52"/>
      <c r="B105" s="52"/>
      <c r="C105" s="52"/>
      <c r="D105" s="52"/>
      <c r="E105" s="52"/>
      <c r="F105" s="52"/>
      <c r="G105" s="52"/>
      <c r="H105" s="52"/>
      <c r="I105" s="52"/>
      <c r="J105" s="52"/>
      <c r="K105" s="52"/>
      <c r="L105" s="52"/>
      <c r="M105" s="52"/>
      <c r="N105" s="52"/>
      <c r="O105" s="52"/>
      <c r="P105" s="52"/>
      <c r="Q105" s="52"/>
      <c r="R105" s="52"/>
      <c r="S105" s="52"/>
      <c r="T105" s="52"/>
      <c r="U105" s="52"/>
      <c r="V105" s="52"/>
      <c r="W105" s="52"/>
    </row>
    <row r="106" spans="1:23" ht="12.75">
      <c r="A106" s="52"/>
      <c r="B106" s="52"/>
      <c r="C106" s="52"/>
      <c r="D106" s="52"/>
      <c r="E106" s="52"/>
      <c r="F106" s="52"/>
      <c r="G106" s="52"/>
      <c r="H106" s="52"/>
      <c r="I106" s="52"/>
      <c r="J106" s="52"/>
      <c r="K106" s="52"/>
      <c r="L106" s="52"/>
      <c r="M106" s="52"/>
      <c r="N106" s="52"/>
      <c r="O106" s="52"/>
      <c r="P106" s="52"/>
      <c r="Q106" s="52"/>
      <c r="R106" s="52"/>
      <c r="S106" s="52"/>
      <c r="T106" s="52"/>
      <c r="U106" s="52"/>
      <c r="V106" s="52"/>
      <c r="W106" s="52"/>
    </row>
    <row r="107" spans="1:23" ht="12.75">
      <c r="A107" s="52"/>
      <c r="B107" s="52"/>
      <c r="C107" s="52"/>
      <c r="D107" s="52"/>
      <c r="E107" s="52"/>
      <c r="F107" s="52"/>
      <c r="G107" s="52"/>
      <c r="H107" s="52"/>
      <c r="I107" s="52"/>
      <c r="J107" s="52"/>
      <c r="K107" s="52"/>
      <c r="L107" s="52"/>
      <c r="M107" s="52"/>
      <c r="N107" s="52"/>
      <c r="O107" s="52"/>
      <c r="P107" s="52"/>
      <c r="Q107" s="52"/>
      <c r="R107" s="52"/>
      <c r="S107" s="52"/>
      <c r="T107" s="52"/>
      <c r="U107" s="52"/>
      <c r="V107" s="52"/>
      <c r="W107" s="52"/>
    </row>
    <row r="108" spans="1:23" ht="12.75">
      <c r="A108" s="52"/>
      <c r="B108" s="52"/>
      <c r="C108" s="52"/>
      <c r="D108" s="52"/>
      <c r="E108" s="52"/>
      <c r="F108" s="52"/>
      <c r="G108" s="52"/>
      <c r="H108" s="52"/>
      <c r="I108" s="52"/>
      <c r="J108" s="52"/>
      <c r="K108" s="52"/>
      <c r="L108" s="52"/>
      <c r="M108" s="52"/>
      <c r="N108" s="52"/>
      <c r="O108" s="52"/>
      <c r="P108" s="52"/>
      <c r="Q108" s="52"/>
      <c r="R108" s="52"/>
      <c r="S108" s="52"/>
      <c r="T108" s="52"/>
      <c r="U108" s="52"/>
      <c r="V108" s="52"/>
      <c r="W108" s="52"/>
    </row>
    <row r="109" spans="1:23" ht="12.75">
      <c r="A109" s="52"/>
      <c r="B109" s="52"/>
      <c r="C109" s="52"/>
      <c r="D109" s="52"/>
      <c r="E109" s="52"/>
      <c r="F109" s="52"/>
      <c r="G109" s="52"/>
      <c r="H109" s="52"/>
      <c r="I109" s="52"/>
      <c r="J109" s="52"/>
      <c r="K109" s="52"/>
      <c r="L109" s="52"/>
      <c r="M109" s="52"/>
      <c r="N109" s="52"/>
      <c r="O109" s="52"/>
      <c r="P109" s="52"/>
      <c r="Q109" s="52"/>
      <c r="R109" s="52"/>
      <c r="S109" s="52"/>
      <c r="T109" s="52"/>
      <c r="U109" s="52"/>
      <c r="V109" s="52"/>
      <c r="W109" s="52"/>
    </row>
    <row r="110" spans="1:23" ht="12.75">
      <c r="A110" s="52"/>
      <c r="B110" s="52"/>
      <c r="C110" s="52"/>
      <c r="D110" s="52"/>
      <c r="E110" s="52"/>
      <c r="F110" s="52"/>
      <c r="G110" s="52"/>
      <c r="H110" s="52"/>
      <c r="I110" s="52"/>
      <c r="J110" s="52"/>
      <c r="K110" s="52"/>
      <c r="L110" s="52"/>
      <c r="M110" s="52"/>
      <c r="N110" s="52"/>
      <c r="O110" s="52"/>
      <c r="P110" s="52"/>
      <c r="Q110" s="52"/>
      <c r="R110" s="52"/>
      <c r="S110" s="52"/>
      <c r="T110" s="52"/>
      <c r="U110" s="52"/>
      <c r="V110" s="52"/>
      <c r="W110" s="52"/>
    </row>
    <row r="111" spans="1:23" ht="12.75">
      <c r="A111" s="52"/>
      <c r="B111" s="52"/>
      <c r="C111" s="52"/>
      <c r="D111" s="52"/>
      <c r="E111" s="52"/>
      <c r="F111" s="52"/>
      <c r="G111" s="52"/>
      <c r="H111" s="52"/>
      <c r="I111" s="52"/>
      <c r="J111" s="52"/>
      <c r="K111" s="52"/>
      <c r="L111" s="52"/>
      <c r="M111" s="52"/>
      <c r="N111" s="52"/>
      <c r="O111" s="52"/>
      <c r="P111" s="52"/>
      <c r="Q111" s="52"/>
      <c r="R111" s="52"/>
      <c r="S111" s="52"/>
      <c r="T111" s="52"/>
      <c r="U111" s="52"/>
      <c r="V111" s="52"/>
      <c r="W111" s="52"/>
    </row>
    <row r="112" spans="1:23" ht="12.75">
      <c r="A112" s="52"/>
      <c r="B112" s="52"/>
      <c r="C112" s="52"/>
      <c r="D112" s="52"/>
      <c r="E112" s="52"/>
      <c r="F112" s="52"/>
      <c r="G112" s="52"/>
      <c r="H112" s="52"/>
      <c r="I112" s="52"/>
      <c r="J112" s="52"/>
      <c r="K112" s="52"/>
      <c r="L112" s="52"/>
      <c r="M112" s="52"/>
      <c r="N112" s="52"/>
      <c r="O112" s="52"/>
      <c r="P112" s="52"/>
      <c r="Q112" s="52"/>
      <c r="R112" s="52"/>
      <c r="S112" s="52"/>
      <c r="T112" s="52"/>
      <c r="U112" s="52"/>
      <c r="V112" s="52"/>
      <c r="W112" s="52"/>
    </row>
    <row r="113" spans="1:23" ht="12.75">
      <c r="A113" s="52"/>
      <c r="B113" s="52"/>
      <c r="C113" s="52"/>
      <c r="D113" s="52"/>
      <c r="E113" s="52"/>
      <c r="F113" s="52"/>
      <c r="G113" s="52"/>
      <c r="H113" s="52"/>
      <c r="I113" s="52"/>
      <c r="J113" s="52"/>
      <c r="K113" s="52"/>
      <c r="L113" s="52"/>
      <c r="M113" s="52"/>
      <c r="N113" s="52"/>
      <c r="O113" s="52"/>
      <c r="P113" s="52"/>
      <c r="Q113" s="52"/>
      <c r="R113" s="52"/>
      <c r="S113" s="52"/>
      <c r="T113" s="52"/>
      <c r="U113" s="52"/>
      <c r="V113" s="52"/>
      <c r="W113" s="52"/>
    </row>
    <row r="114" spans="1:23" ht="12.75">
      <c r="A114" s="52"/>
      <c r="B114" s="52"/>
      <c r="C114" s="52"/>
      <c r="D114" s="52"/>
      <c r="E114" s="52"/>
      <c r="F114" s="52"/>
      <c r="G114" s="52"/>
      <c r="H114" s="52"/>
      <c r="I114" s="52"/>
      <c r="J114" s="52"/>
      <c r="K114" s="52"/>
      <c r="L114" s="52"/>
      <c r="M114" s="52"/>
      <c r="N114" s="52"/>
      <c r="O114" s="52"/>
      <c r="P114" s="52"/>
      <c r="Q114" s="52"/>
      <c r="R114" s="52"/>
      <c r="S114" s="52"/>
      <c r="T114" s="52"/>
      <c r="U114" s="52"/>
      <c r="V114" s="52"/>
      <c r="W114" s="52"/>
    </row>
    <row r="115" spans="1:23" ht="12.75">
      <c r="A115" s="52"/>
      <c r="B115" s="52"/>
      <c r="C115" s="52"/>
      <c r="D115" s="52"/>
      <c r="E115" s="52"/>
      <c r="F115" s="52"/>
      <c r="G115" s="52"/>
      <c r="H115" s="52"/>
      <c r="I115" s="52"/>
      <c r="J115" s="52"/>
      <c r="K115" s="52"/>
      <c r="L115" s="52"/>
      <c r="M115" s="52"/>
      <c r="N115" s="52"/>
      <c r="O115" s="52"/>
      <c r="P115" s="52"/>
      <c r="Q115" s="52"/>
      <c r="R115" s="52"/>
      <c r="S115" s="52"/>
      <c r="T115" s="52"/>
      <c r="U115" s="52"/>
      <c r="V115" s="52"/>
      <c r="W115" s="52"/>
    </row>
    <row r="116" spans="1:23" ht="12.75">
      <c r="A116" s="52"/>
      <c r="B116" s="52"/>
      <c r="C116" s="52"/>
      <c r="D116" s="52"/>
      <c r="E116" s="52"/>
      <c r="F116" s="52"/>
      <c r="G116" s="52"/>
      <c r="H116" s="52"/>
      <c r="I116" s="52"/>
      <c r="J116" s="52"/>
      <c r="K116" s="52"/>
      <c r="L116" s="52"/>
      <c r="M116" s="52"/>
      <c r="N116" s="52"/>
      <c r="O116" s="52"/>
      <c r="P116" s="52"/>
      <c r="Q116" s="52"/>
      <c r="R116" s="52"/>
      <c r="S116" s="52"/>
      <c r="T116" s="52"/>
      <c r="U116" s="52"/>
      <c r="V116" s="52"/>
      <c r="W116" s="52"/>
    </row>
    <row r="117" spans="1:23" ht="12.75">
      <c r="A117" s="52"/>
      <c r="B117" s="52"/>
      <c r="C117" s="52"/>
      <c r="D117" s="52"/>
      <c r="E117" s="52"/>
      <c r="F117" s="52"/>
      <c r="G117" s="52"/>
      <c r="H117" s="52"/>
      <c r="I117" s="52"/>
      <c r="J117" s="52"/>
      <c r="K117" s="52"/>
      <c r="L117" s="52"/>
      <c r="M117" s="52"/>
      <c r="N117" s="52"/>
      <c r="O117" s="52"/>
      <c r="P117" s="52"/>
      <c r="Q117" s="52"/>
      <c r="R117" s="52"/>
      <c r="S117" s="52"/>
      <c r="T117" s="52"/>
      <c r="U117" s="52"/>
      <c r="V117" s="52"/>
      <c r="W117" s="52"/>
    </row>
    <row r="118" spans="1:23" ht="12.75">
      <c r="A118" s="52"/>
      <c r="B118" s="52"/>
      <c r="C118" s="52"/>
      <c r="D118" s="52"/>
      <c r="E118" s="52"/>
      <c r="F118" s="52"/>
      <c r="G118" s="52"/>
      <c r="H118" s="52"/>
      <c r="I118" s="52"/>
      <c r="J118" s="52"/>
      <c r="K118" s="52"/>
      <c r="L118" s="52"/>
      <c r="M118" s="52"/>
      <c r="N118" s="52"/>
      <c r="O118" s="52"/>
      <c r="P118" s="52"/>
      <c r="Q118" s="52"/>
      <c r="R118" s="52"/>
      <c r="S118" s="52"/>
      <c r="T118" s="52"/>
      <c r="U118" s="52"/>
      <c r="V118" s="52"/>
      <c r="W118" s="52"/>
    </row>
    <row r="119" spans="1:23" ht="12.75">
      <c r="A119" s="52"/>
      <c r="B119" s="52"/>
      <c r="C119" s="52"/>
      <c r="D119" s="52"/>
      <c r="E119" s="52"/>
      <c r="F119" s="52"/>
      <c r="G119" s="52"/>
      <c r="H119" s="52"/>
      <c r="I119" s="52"/>
      <c r="J119" s="52"/>
      <c r="K119" s="52"/>
      <c r="L119" s="52"/>
      <c r="M119" s="52"/>
      <c r="N119" s="52"/>
      <c r="O119" s="52"/>
      <c r="P119" s="52"/>
      <c r="Q119" s="52"/>
      <c r="R119" s="52"/>
      <c r="S119" s="52"/>
      <c r="T119" s="52"/>
      <c r="U119" s="52"/>
      <c r="V119" s="52"/>
      <c r="W119" s="52"/>
    </row>
    <row r="120" spans="1:23" ht="12.75">
      <c r="A120" s="52"/>
      <c r="B120" s="52"/>
      <c r="C120" s="52"/>
      <c r="D120" s="52"/>
      <c r="E120" s="52"/>
      <c r="F120" s="52"/>
      <c r="G120" s="52"/>
      <c r="H120" s="52"/>
      <c r="I120" s="52"/>
      <c r="J120" s="52"/>
      <c r="K120" s="52"/>
      <c r="L120" s="52"/>
      <c r="M120" s="52"/>
      <c r="N120" s="52"/>
      <c r="O120" s="52"/>
      <c r="P120" s="52"/>
      <c r="Q120" s="52"/>
      <c r="R120" s="52"/>
      <c r="S120" s="52"/>
      <c r="T120" s="52"/>
      <c r="U120" s="52"/>
      <c r="V120" s="52"/>
      <c r="W120" s="52"/>
    </row>
    <row r="121" spans="1:23" ht="12.75">
      <c r="A121" s="52"/>
      <c r="B121" s="52"/>
      <c r="C121" s="52"/>
      <c r="D121" s="52"/>
      <c r="E121" s="52"/>
      <c r="F121" s="52"/>
      <c r="G121" s="52"/>
      <c r="H121" s="52"/>
      <c r="I121" s="52"/>
      <c r="J121" s="52"/>
      <c r="K121" s="52"/>
      <c r="L121" s="52"/>
      <c r="M121" s="52"/>
      <c r="N121" s="52"/>
      <c r="O121" s="52"/>
      <c r="P121" s="52"/>
      <c r="Q121" s="52"/>
      <c r="R121" s="52"/>
      <c r="S121" s="52"/>
      <c r="T121" s="52"/>
      <c r="U121" s="52"/>
      <c r="V121" s="52"/>
      <c r="W121" s="52"/>
    </row>
    <row r="122" spans="1:23" ht="12.75">
      <c r="A122" s="52"/>
      <c r="B122" s="52"/>
      <c r="C122" s="52"/>
      <c r="D122" s="52"/>
      <c r="E122" s="52"/>
      <c r="F122" s="52"/>
      <c r="G122" s="52"/>
      <c r="H122" s="52"/>
      <c r="I122" s="52"/>
      <c r="J122" s="52"/>
      <c r="K122" s="52"/>
      <c r="L122" s="52"/>
      <c r="M122" s="52"/>
      <c r="N122" s="52"/>
      <c r="O122" s="52"/>
      <c r="P122" s="52"/>
      <c r="Q122" s="52"/>
      <c r="R122" s="52"/>
      <c r="S122" s="52"/>
      <c r="T122" s="52"/>
      <c r="U122" s="52"/>
      <c r="V122" s="52"/>
      <c r="W122" s="52"/>
    </row>
    <row r="123" spans="1:23" ht="12.75">
      <c r="A123" s="52"/>
      <c r="B123" s="52"/>
      <c r="C123" s="52"/>
      <c r="D123" s="52"/>
      <c r="E123" s="52"/>
      <c r="F123" s="52"/>
      <c r="G123" s="52"/>
      <c r="H123" s="52"/>
      <c r="I123" s="52"/>
      <c r="J123" s="52"/>
      <c r="K123" s="52"/>
      <c r="L123" s="52"/>
      <c r="M123" s="52"/>
      <c r="N123" s="52"/>
      <c r="O123" s="52"/>
      <c r="P123" s="52"/>
      <c r="Q123" s="52"/>
      <c r="R123" s="52"/>
      <c r="S123" s="52"/>
      <c r="T123" s="52"/>
      <c r="U123" s="52"/>
      <c r="V123" s="52"/>
      <c r="W123" s="52"/>
    </row>
    <row r="124" spans="1:23" ht="12.75">
      <c r="A124" s="52"/>
      <c r="B124" s="52"/>
      <c r="C124" s="52"/>
      <c r="D124" s="52"/>
      <c r="E124" s="52"/>
      <c r="F124" s="52"/>
      <c r="G124" s="52"/>
      <c r="H124" s="52"/>
      <c r="I124" s="52"/>
      <c r="J124" s="52"/>
      <c r="K124" s="52"/>
      <c r="L124" s="52"/>
      <c r="M124" s="52"/>
      <c r="N124" s="52"/>
      <c r="O124" s="52"/>
      <c r="P124" s="52"/>
      <c r="Q124" s="52"/>
      <c r="R124" s="52"/>
      <c r="S124" s="52"/>
      <c r="T124" s="52"/>
      <c r="U124" s="52"/>
      <c r="V124" s="52"/>
      <c r="W124" s="52"/>
    </row>
    <row r="125" spans="1:23" ht="12.75">
      <c r="A125" s="52"/>
      <c r="B125" s="52"/>
      <c r="C125" s="52"/>
      <c r="D125" s="52"/>
      <c r="E125" s="52"/>
      <c r="F125" s="52"/>
      <c r="G125" s="52"/>
      <c r="H125" s="52"/>
      <c r="I125" s="52"/>
      <c r="J125" s="52"/>
      <c r="K125" s="52"/>
      <c r="L125" s="52"/>
      <c r="M125" s="52"/>
      <c r="N125" s="52"/>
      <c r="O125" s="52"/>
      <c r="P125" s="52"/>
      <c r="Q125" s="52"/>
      <c r="R125" s="52"/>
      <c r="S125" s="52"/>
      <c r="T125" s="52"/>
      <c r="U125" s="52"/>
      <c r="V125" s="52"/>
      <c r="W125" s="52"/>
    </row>
    <row r="126" spans="1:23" ht="12.75">
      <c r="A126" s="52"/>
      <c r="B126" s="52"/>
      <c r="C126" s="52"/>
      <c r="D126" s="52"/>
      <c r="E126" s="52"/>
      <c r="F126" s="52"/>
      <c r="G126" s="52"/>
      <c r="H126" s="52"/>
      <c r="I126" s="52"/>
      <c r="J126" s="52"/>
      <c r="K126" s="52"/>
      <c r="L126" s="52"/>
      <c r="M126" s="52"/>
      <c r="N126" s="52"/>
      <c r="O126" s="52"/>
      <c r="P126" s="52"/>
      <c r="Q126" s="52"/>
      <c r="R126" s="52"/>
      <c r="S126" s="52"/>
      <c r="T126" s="52"/>
      <c r="U126" s="52"/>
      <c r="V126" s="52"/>
      <c r="W126" s="52"/>
    </row>
    <row r="127" spans="1:23" ht="12.75">
      <c r="A127" s="52"/>
      <c r="B127" s="52"/>
      <c r="C127" s="52"/>
      <c r="D127" s="52"/>
      <c r="E127" s="52"/>
      <c r="F127" s="52"/>
      <c r="G127" s="52"/>
      <c r="H127" s="52"/>
      <c r="I127" s="52"/>
      <c r="J127" s="52"/>
      <c r="K127" s="52"/>
      <c r="L127" s="52"/>
      <c r="M127" s="52"/>
      <c r="N127" s="52"/>
      <c r="O127" s="52"/>
      <c r="P127" s="52"/>
      <c r="Q127" s="52"/>
      <c r="R127" s="52"/>
      <c r="S127" s="52"/>
      <c r="T127" s="52"/>
      <c r="U127" s="52"/>
      <c r="V127" s="52"/>
      <c r="W127" s="52"/>
    </row>
    <row r="128" spans="1:23" ht="12.75">
      <c r="A128" s="52"/>
      <c r="B128" s="52"/>
      <c r="C128" s="52"/>
      <c r="D128" s="52"/>
      <c r="E128" s="52"/>
      <c r="F128" s="52"/>
      <c r="G128" s="52"/>
      <c r="H128" s="52"/>
      <c r="I128" s="52"/>
      <c r="J128" s="52"/>
      <c r="K128" s="52"/>
      <c r="L128" s="52"/>
      <c r="M128" s="52"/>
      <c r="N128" s="52"/>
      <c r="O128" s="52"/>
      <c r="P128" s="52"/>
      <c r="Q128" s="52"/>
      <c r="R128" s="52"/>
      <c r="S128" s="52"/>
      <c r="T128" s="52"/>
      <c r="U128" s="52"/>
      <c r="V128" s="52"/>
      <c r="W128" s="52"/>
    </row>
    <row r="129" spans="1:23" ht="12.75">
      <c r="A129" s="52"/>
      <c r="B129" s="52"/>
      <c r="C129" s="52"/>
      <c r="D129" s="52"/>
      <c r="E129" s="52"/>
      <c r="F129" s="52"/>
      <c r="G129" s="52"/>
      <c r="H129" s="52"/>
      <c r="I129" s="52"/>
      <c r="J129" s="52"/>
      <c r="K129" s="52"/>
      <c r="L129" s="52"/>
      <c r="M129" s="52"/>
      <c r="N129" s="52"/>
      <c r="O129" s="52"/>
      <c r="P129" s="52"/>
      <c r="Q129" s="52"/>
      <c r="R129" s="52"/>
      <c r="S129" s="52"/>
      <c r="T129" s="52"/>
      <c r="U129" s="52"/>
      <c r="V129" s="52"/>
      <c r="W129" s="52"/>
    </row>
    <row r="130" spans="1:23" ht="12.75">
      <c r="A130" s="52"/>
      <c r="B130" s="52"/>
      <c r="C130" s="52"/>
      <c r="D130" s="52"/>
      <c r="E130" s="52"/>
      <c r="F130" s="52"/>
      <c r="G130" s="52"/>
      <c r="H130" s="52"/>
      <c r="I130" s="52"/>
      <c r="J130" s="52"/>
      <c r="K130" s="52"/>
      <c r="L130" s="52"/>
      <c r="M130" s="52"/>
      <c r="N130" s="52"/>
      <c r="O130" s="52"/>
      <c r="P130" s="52"/>
      <c r="Q130" s="52"/>
      <c r="R130" s="52"/>
      <c r="S130" s="52"/>
      <c r="T130" s="52"/>
      <c r="U130" s="52"/>
      <c r="V130" s="52"/>
      <c r="W130" s="52"/>
    </row>
    <row r="131" spans="1:23" ht="12.75">
      <c r="A131" s="52"/>
      <c r="B131" s="52"/>
      <c r="C131" s="52"/>
      <c r="D131" s="52"/>
      <c r="E131" s="52"/>
      <c r="F131" s="52"/>
      <c r="G131" s="52"/>
      <c r="H131" s="52"/>
      <c r="I131" s="52"/>
      <c r="J131" s="52"/>
      <c r="K131" s="52"/>
      <c r="L131" s="52"/>
      <c r="M131" s="52"/>
      <c r="N131" s="52"/>
      <c r="O131" s="52"/>
      <c r="P131" s="52"/>
      <c r="Q131" s="52"/>
      <c r="R131" s="52"/>
      <c r="S131" s="52"/>
      <c r="T131" s="52"/>
      <c r="U131" s="52"/>
      <c r="V131" s="52"/>
      <c r="W131" s="52"/>
    </row>
    <row r="132" spans="1:23" ht="12.75">
      <c r="A132" s="52"/>
      <c r="B132" s="52"/>
      <c r="C132" s="52"/>
      <c r="D132" s="52"/>
      <c r="E132" s="52"/>
      <c r="F132" s="52"/>
      <c r="G132" s="52"/>
      <c r="H132" s="52"/>
      <c r="I132" s="52"/>
      <c r="J132" s="52"/>
      <c r="K132" s="52"/>
      <c r="L132" s="52"/>
      <c r="M132" s="52"/>
      <c r="N132" s="52"/>
      <c r="O132" s="52"/>
      <c r="P132" s="52"/>
      <c r="Q132" s="52"/>
      <c r="R132" s="52"/>
      <c r="S132" s="52"/>
      <c r="T132" s="52"/>
      <c r="U132" s="52"/>
      <c r="V132" s="52"/>
      <c r="W132" s="52"/>
    </row>
    <row r="133" spans="1:23" ht="12.75">
      <c r="A133" s="52"/>
      <c r="B133" s="52"/>
      <c r="C133" s="52"/>
      <c r="D133" s="52"/>
      <c r="E133" s="52"/>
      <c r="F133" s="52"/>
      <c r="G133" s="52"/>
      <c r="H133" s="52"/>
      <c r="I133" s="52"/>
      <c r="J133" s="52"/>
      <c r="K133" s="52"/>
      <c r="L133" s="52"/>
      <c r="M133" s="52"/>
      <c r="N133" s="52"/>
      <c r="O133" s="52"/>
      <c r="P133" s="52"/>
      <c r="Q133" s="52"/>
      <c r="R133" s="52"/>
      <c r="S133" s="52"/>
      <c r="T133" s="52"/>
      <c r="U133" s="52"/>
      <c r="V133" s="52"/>
      <c r="W133" s="52"/>
    </row>
    <row r="134" spans="1:23" ht="12.75">
      <c r="A134" s="52"/>
      <c r="B134" s="52"/>
      <c r="C134" s="52"/>
      <c r="D134" s="52"/>
      <c r="E134" s="52"/>
      <c r="F134" s="52"/>
      <c r="G134" s="52"/>
      <c r="H134" s="52"/>
      <c r="I134" s="52"/>
      <c r="J134" s="52"/>
      <c r="K134" s="52"/>
      <c r="L134" s="52"/>
      <c r="M134" s="52"/>
      <c r="N134" s="52"/>
      <c r="O134" s="52"/>
      <c r="P134" s="52"/>
      <c r="Q134" s="52"/>
      <c r="R134" s="52"/>
      <c r="S134" s="52"/>
      <c r="T134" s="52"/>
      <c r="U134" s="52"/>
      <c r="V134" s="52"/>
      <c r="W134" s="52"/>
    </row>
    <row r="135" spans="1:23" ht="12.75">
      <c r="A135" s="52"/>
      <c r="B135" s="52"/>
      <c r="C135" s="52"/>
      <c r="D135" s="52"/>
      <c r="E135" s="52"/>
      <c r="F135" s="52"/>
      <c r="G135" s="52"/>
      <c r="H135" s="52"/>
      <c r="I135" s="52"/>
      <c r="J135" s="52"/>
      <c r="K135" s="52"/>
      <c r="L135" s="52"/>
      <c r="M135" s="52"/>
      <c r="N135" s="52"/>
      <c r="O135" s="52"/>
      <c r="P135" s="52"/>
      <c r="Q135" s="52"/>
      <c r="R135" s="52"/>
      <c r="S135" s="52"/>
      <c r="T135" s="52"/>
      <c r="U135" s="52"/>
      <c r="V135" s="52"/>
      <c r="W135" s="52"/>
    </row>
    <row r="136" spans="1:23" ht="12.75">
      <c r="A136" s="52"/>
      <c r="B136" s="52"/>
      <c r="C136" s="52"/>
      <c r="D136" s="52"/>
      <c r="E136" s="52"/>
      <c r="F136" s="52"/>
      <c r="G136" s="52"/>
      <c r="H136" s="52"/>
      <c r="I136" s="52"/>
      <c r="J136" s="52"/>
      <c r="K136" s="52"/>
      <c r="L136" s="52"/>
      <c r="M136" s="52"/>
      <c r="N136" s="52"/>
      <c r="O136" s="52"/>
      <c r="P136" s="52"/>
      <c r="Q136" s="52"/>
      <c r="R136" s="52"/>
      <c r="S136" s="52"/>
      <c r="T136" s="52"/>
      <c r="U136" s="52"/>
      <c r="V136" s="52"/>
      <c r="W136" s="52"/>
    </row>
    <row r="137" spans="14:23" ht="12.75">
      <c r="N137" s="52"/>
      <c r="O137" s="52"/>
      <c r="P137" s="52"/>
      <c r="Q137" s="52"/>
      <c r="R137" s="52"/>
      <c r="S137" s="52"/>
      <c r="T137" s="52"/>
      <c r="U137" s="52"/>
      <c r="V137" s="52"/>
      <c r="W137" s="52"/>
    </row>
    <row r="138" spans="14:23" ht="12.75">
      <c r="N138" s="52"/>
      <c r="O138" s="52"/>
      <c r="P138" s="52"/>
      <c r="Q138" s="52"/>
      <c r="R138" s="52"/>
      <c r="S138" s="52"/>
      <c r="T138" s="52"/>
      <c r="U138" s="52"/>
      <c r="V138" s="52"/>
      <c r="W138" s="52"/>
    </row>
    <row r="139" spans="14:23" ht="12.75">
      <c r="N139" s="52"/>
      <c r="O139" s="52"/>
      <c r="P139" s="52"/>
      <c r="Q139" s="52"/>
      <c r="R139" s="52"/>
      <c r="S139" s="52"/>
      <c r="T139" s="52"/>
      <c r="U139" s="52"/>
      <c r="V139" s="52"/>
      <c r="W139" s="52"/>
    </row>
    <row r="140" spans="14:23" ht="12.75">
      <c r="N140" s="52"/>
      <c r="O140" s="52"/>
      <c r="P140" s="52"/>
      <c r="Q140" s="52"/>
      <c r="R140" s="52"/>
      <c r="S140" s="52"/>
      <c r="T140" s="52"/>
      <c r="U140" s="52"/>
      <c r="V140" s="52"/>
      <c r="W140" s="52"/>
    </row>
    <row r="200" ht="12.75">
      <c r="AA200" s="115"/>
    </row>
  </sheetData>
  <sheetProtection password="DC65" sheet="1" objects="1" scenarios="1"/>
  <printOptions gridLines="1"/>
  <pageMargins left="0.75" right="0.75" top="1" bottom="1" header="0.5" footer="0.5"/>
  <pageSetup horizontalDpi="200" verticalDpi="200" orientation="portrait" paperSize="9" r:id="rId3"/>
  <headerFooter alignWithMargins="0">
    <oddHeader>&amp;C&amp;A</oddHeader>
    <oddFooter>&amp;CPagina &amp;P</oddFooter>
  </headerFooter>
  <drawing r:id="rId2"/>
  <legacyDrawing r:id="rId1"/>
</worksheet>
</file>

<file path=xl/worksheets/sheet2.xml><?xml version="1.0" encoding="utf-8"?>
<worksheet xmlns="http://schemas.openxmlformats.org/spreadsheetml/2006/main" xmlns:r="http://schemas.openxmlformats.org/officeDocument/2006/relationships">
  <sheetPr codeName="Foglio2"/>
  <dimension ref="A1:CA693"/>
  <sheetViews>
    <sheetView showRowColHeaders="0" zoomScale="75" zoomScaleNormal="75" workbookViewId="0" topLeftCell="A1">
      <pane ySplit="1" topLeftCell="BM2" activePane="bottomLeft" state="frozen"/>
      <selection pane="topLeft" activeCell="A1" sqref="A1"/>
      <selection pane="bottomLeft" activeCell="A4" sqref="A4"/>
    </sheetView>
  </sheetViews>
  <sheetFormatPr defaultColWidth="9.00390625" defaultRowHeight="12.75"/>
  <cols>
    <col min="1" max="1" width="5.75390625" style="1" customWidth="1"/>
    <col min="2" max="2" width="1.625" style="31" hidden="1" customWidth="1"/>
    <col min="3" max="3" width="5.75390625" style="24" hidden="1" customWidth="1"/>
    <col min="4" max="4" width="1.625" style="33" hidden="1" customWidth="1"/>
    <col min="5" max="5" width="9.125" style="3" hidden="1" customWidth="1"/>
    <col min="6" max="6" width="1.75390625" style="33" hidden="1" customWidth="1"/>
    <col min="7" max="7" width="9.875" style="4" hidden="1" customWidth="1"/>
    <col min="8" max="8" width="1.75390625" style="33" hidden="1" customWidth="1"/>
    <col min="9" max="9" width="8.75390625" style="5" hidden="1" customWidth="1"/>
    <col min="10" max="10" width="1.75390625" style="33" hidden="1" customWidth="1"/>
    <col min="11" max="11" width="9.375" style="276" hidden="1" customWidth="1"/>
    <col min="12" max="12" width="8.75390625" style="6" hidden="1" customWidth="1"/>
    <col min="13" max="13" width="1.75390625" style="33" hidden="1" customWidth="1"/>
    <col min="14" max="14" width="4.75390625" style="1" hidden="1" customWidth="1"/>
    <col min="15" max="15" width="1.75390625" style="33" hidden="1" customWidth="1"/>
    <col min="16" max="16" width="9.75390625" style="278" hidden="1" customWidth="1"/>
    <col min="17" max="17" width="30.75390625" style="1" customWidth="1"/>
    <col min="18" max="18" width="10.75390625" style="1" customWidth="1"/>
    <col min="19" max="21" width="2.75390625" style="1" customWidth="1"/>
    <col min="22" max="22" width="13.25390625" style="279" customWidth="1"/>
    <col min="23" max="23" width="13.75390625" style="38" hidden="1" customWidth="1"/>
    <col min="24" max="24" width="17.875" style="39" hidden="1" customWidth="1"/>
    <col min="25" max="26" width="14.75390625" style="2" hidden="1" customWidth="1"/>
    <col min="27" max="27" width="80.75390625" style="2" customWidth="1"/>
    <col min="28" max="28" width="60.75390625" style="2" customWidth="1"/>
    <col min="29" max="29" width="14.875" style="283" customWidth="1"/>
    <col min="30" max="30" width="16.75390625" style="283" customWidth="1"/>
    <col min="31" max="31" width="59.125" style="2" customWidth="1"/>
    <col min="32" max="32" width="15.875" style="2" customWidth="1"/>
    <col min="33" max="33" width="80.75390625" style="1" customWidth="1"/>
    <col min="34" max="34" width="9.25390625" style="1" customWidth="1"/>
    <col min="35" max="35" width="8.00390625" style="1" customWidth="1"/>
    <col min="36" max="78" width="10.75390625" style="2" customWidth="1"/>
    <col min="79" max="79" width="80.75390625" style="2" customWidth="1"/>
    <col min="80" max="16384" width="10.75390625" style="2" customWidth="1"/>
  </cols>
  <sheetData>
    <row r="1" spans="1:79" s="105" customFormat="1" ht="60" customHeight="1" thickBot="1" thickTop="1">
      <c r="A1" s="148">
        <f>IF(Istruzioni!$E$7&lt;&gt;"","Min. Lav.","")</f>
      </c>
      <c r="B1" s="40"/>
      <c r="C1" s="41">
        <f>IF(Istruzioni!$E$7&lt;&gt;"","Co. Min.","")</f>
      </c>
      <c r="D1" s="40"/>
      <c r="E1" s="42">
        <f>IF(Istruzioni!$E$7&lt;&gt;"","Costo Manod. al Minuto","")</f>
      </c>
      <c r="F1" s="43"/>
      <c r="G1" s="41">
        <f>IF(Istruzioni!$E$7&lt;&gt;"","Spese Variab. al Minuto","")</f>
      </c>
      <c r="H1" s="40"/>
      <c r="I1" s="41">
        <f>IF(Istruzioni!$E$7&lt;&gt;"","Spese Fisse Minuto","")</f>
      </c>
      <c r="J1" s="40"/>
      <c r="K1" s="42">
        <f>IF(Istruzioni!$E$7&lt;&gt;"","Tot Co. Minuto","")</f>
      </c>
      <c r="L1" s="42">
        <f>IF(Istruzioni!$E$7&lt;&gt;"","Costo Unitario Mat. Pr.","")</f>
      </c>
      <c r="M1" s="40"/>
      <c r="N1" s="41">
        <f>IF(Istruzioni!$E$7&lt;&gt;"","Qtà","")</f>
      </c>
      <c r="O1" s="40"/>
      <c r="P1" s="42">
        <f>IF(Istruzioni!$E$7&lt;&gt;"","Totale Costo Mat. Pr.","")</f>
      </c>
      <c r="Q1" s="44">
        <f>IF(Istruzioni!$E$7&lt;&gt;"","Descrizione della Lavorazione","")</f>
      </c>
      <c r="R1" s="42">
        <f>IF(Istruzioni!$E$7&lt;&gt;"","Riferim. (Senza Iva)","")</f>
      </c>
      <c r="S1" s="45">
        <f>IF(Istruzioni!$E$7&lt;&gt;"","  Valori","")</f>
      </c>
      <c r="T1" s="42"/>
      <c r="U1" s="42"/>
      <c r="V1" s="47">
        <f>IF(Istruzioni!$E$7&lt;&gt;"","Riferim. (Ivato)","")</f>
      </c>
      <c r="W1" s="103">
        <v>1</v>
      </c>
      <c r="X1" s="104"/>
      <c r="AA1" s="47"/>
      <c r="AC1" s="280"/>
      <c r="AD1" s="280"/>
      <c r="CA1" s="47"/>
    </row>
    <row r="2" spans="1:79" s="105" customFormat="1" ht="24" customHeight="1" thickTop="1">
      <c r="A2" s="8"/>
      <c r="B2" s="29"/>
      <c r="C2" s="36"/>
      <c r="D2" s="32"/>
      <c r="E2" s="10"/>
      <c r="F2" s="34"/>
      <c r="G2" s="10"/>
      <c r="H2" s="34"/>
      <c r="I2" s="10"/>
      <c r="J2" s="34"/>
      <c r="K2" s="275"/>
      <c r="L2" s="11"/>
      <c r="M2" s="32"/>
      <c r="N2" s="8"/>
      <c r="O2" s="32"/>
      <c r="P2" s="275"/>
      <c r="Q2" s="26">
        <f>IF(Istruzioni!$E$7&lt;&gt;"","Lavorazioni in Studio","")</f>
      </c>
      <c r="R2" s="46"/>
      <c r="S2" s="12" t="s">
        <v>26</v>
      </c>
      <c r="T2" s="10" t="s">
        <v>27</v>
      </c>
      <c r="U2" s="13" t="s">
        <v>28</v>
      </c>
      <c r="V2" s="275"/>
      <c r="W2" s="106"/>
      <c r="X2" s="106"/>
      <c r="AA2" s="155" t="s">
        <v>162</v>
      </c>
      <c r="AC2" s="280"/>
      <c r="AD2" s="280"/>
      <c r="CA2" s="10"/>
    </row>
    <row r="3" spans="1:79" s="107" customFormat="1" ht="12.75">
      <c r="A3" s="117"/>
      <c r="B3" s="8"/>
      <c r="C3" s="8"/>
      <c r="D3" s="9"/>
      <c r="E3" s="10"/>
      <c r="F3" s="10"/>
      <c r="G3" s="10"/>
      <c r="H3" s="10"/>
      <c r="I3" s="10"/>
      <c r="J3" s="10"/>
      <c r="K3" s="275"/>
      <c r="L3" s="11"/>
      <c r="M3" s="9"/>
      <c r="N3" s="8"/>
      <c r="O3" s="9"/>
      <c r="P3" s="275"/>
      <c r="Q3" s="17" t="s">
        <v>29</v>
      </c>
      <c r="R3" s="25"/>
      <c r="S3" s="10"/>
      <c r="T3" s="10"/>
      <c r="U3" s="10"/>
      <c r="V3" s="150">
        <f>IF(Istruzioni!$E$7&lt;&gt;"",Istruzioni!$G$12,"")</f>
      </c>
      <c r="W3" s="106"/>
      <c r="X3" s="106"/>
      <c r="AA3" s="151"/>
      <c r="AC3" s="281"/>
      <c r="AD3" s="281"/>
      <c r="CA3" s="149"/>
    </row>
    <row r="4" spans="1:79" ht="12.75">
      <c r="A4" s="96">
        <v>10</v>
      </c>
      <c r="B4" s="67" t="s">
        <v>30</v>
      </c>
      <c r="C4" s="159">
        <f>CostoMinuto</f>
      </c>
      <c r="D4" s="67" t="s">
        <v>79</v>
      </c>
      <c r="E4" s="269" t="e">
        <f>MinutiLavoro*CostoMinuto</f>
        <v>#VALUE!</v>
      </c>
      <c r="F4" s="69" t="s">
        <v>80</v>
      </c>
      <c r="G4" s="272" t="e">
        <f>Costi_Variabili/Min_Lavoro_Anno*A4</f>
        <v>#VALUE!</v>
      </c>
      <c r="H4" s="69" t="s">
        <v>80</v>
      </c>
      <c r="I4" s="269" t="e">
        <f>Costi_Fissi/Min_Lavoro_Anno*A4</f>
        <v>#VALUE!</v>
      </c>
      <c r="J4" s="69" t="s">
        <v>81</v>
      </c>
      <c r="K4" s="158" t="e">
        <f aca="true" t="shared" si="0" ref="K4:K67">SUM(E4+G4+I4)</f>
        <v>#VALUE!</v>
      </c>
      <c r="L4" s="163">
        <v>1.67</v>
      </c>
      <c r="M4" s="67" t="s">
        <v>30</v>
      </c>
      <c r="N4" s="96">
        <v>1</v>
      </c>
      <c r="O4" s="67" t="s">
        <v>79</v>
      </c>
      <c r="P4" s="160">
        <f>IF(Istruzioni!$E$7&lt;&gt;"",CostoUnitMatPrima*Qtà,"")</f>
      </c>
      <c r="Q4" s="68" t="s">
        <v>82</v>
      </c>
      <c r="R4" s="272" t="e">
        <f>IF(Z4,P4*(-S4*Valori!$B$14/100+1)*(T4*Valori!$C$14/100+1)*(U4*Valori!$D$14/100+1)+K4,"ERRORE")</f>
        <v>#VALUE!</v>
      </c>
      <c r="S4" s="91">
        <v>3</v>
      </c>
      <c r="T4" s="92">
        <v>2</v>
      </c>
      <c r="U4" s="93">
        <v>1</v>
      </c>
      <c r="V4" s="161" t="e">
        <f>IF(Z4,R4*(1&amp;","&amp;Valori!$B$7),"ERRORE")</f>
        <v>#VALUE!</v>
      </c>
      <c r="W4" s="109">
        <f aca="true" t="shared" si="1" ref="W4:Y22">IF(S4&lt;=0,"errore",IF(S4&gt;5,"errore",S4))</f>
        <v>3</v>
      </c>
      <c r="X4" s="109">
        <f t="shared" si="1"/>
        <v>2</v>
      </c>
      <c r="Y4" s="109">
        <f t="shared" si="1"/>
        <v>1</v>
      </c>
      <c r="Z4" s="110" t="b">
        <f>ISNUMBER(W4+X4+Y4)</f>
        <v>1</v>
      </c>
      <c r="AA4" s="152"/>
      <c r="AB4"/>
      <c r="AC4" s="282" t="b">
        <f>ISNUMBER(W4+X4+Y4)</f>
        <v>1</v>
      </c>
      <c r="AG4" s="2"/>
      <c r="AH4" s="2"/>
      <c r="AI4" s="2"/>
      <c r="CA4" s="7"/>
    </row>
    <row r="5" spans="1:79" ht="12.75">
      <c r="A5" s="96">
        <v>10</v>
      </c>
      <c r="B5" s="67" t="s">
        <v>30</v>
      </c>
      <c r="C5" s="159">
        <f aca="true" t="shared" si="2" ref="C5:C17">CostoMinuto</f>
      </c>
      <c r="D5" s="67" t="s">
        <v>79</v>
      </c>
      <c r="E5" s="269" t="e">
        <f>MinutiLavoro*CostoMinuto</f>
        <v>#VALUE!</v>
      </c>
      <c r="F5" s="69" t="s">
        <v>80</v>
      </c>
      <c r="G5" s="272" t="e">
        <f>Costi_Variabili/Min_Lavoro_Anno*A5</f>
        <v>#VALUE!</v>
      </c>
      <c r="H5" s="69" t="s">
        <v>80</v>
      </c>
      <c r="I5" s="269" t="e">
        <f>Costi_Fissi/Min_Lavoro_Anno*A5</f>
        <v>#VALUE!</v>
      </c>
      <c r="J5" s="69" t="s">
        <v>81</v>
      </c>
      <c r="K5" s="158" t="e">
        <f t="shared" si="0"/>
        <v>#VALUE!</v>
      </c>
      <c r="L5" s="163">
        <v>2.97</v>
      </c>
      <c r="M5" s="67" t="s">
        <v>30</v>
      </c>
      <c r="N5" s="96">
        <v>1</v>
      </c>
      <c r="O5" s="67" t="s">
        <v>79</v>
      </c>
      <c r="P5" s="160">
        <f>IF(Istruzioni!$E$7&lt;&gt;"",CostoUnitMatPrima*Qtà,"")</f>
      </c>
      <c r="Q5" s="68" t="s">
        <v>83</v>
      </c>
      <c r="R5" s="272" t="e">
        <f>IF(Z5,P5*(-S5*Valori!$B$14/100+1)*(T5*Valori!$C$14/100+1)*(U5*Valori!$D$14/100+1)+K5,"ERRORE")</f>
        <v>#VALUE!</v>
      </c>
      <c r="S5" s="91">
        <v>3</v>
      </c>
      <c r="T5" s="92">
        <v>2</v>
      </c>
      <c r="U5" s="93">
        <v>1</v>
      </c>
      <c r="V5" s="160" t="e">
        <f>IF(Z5,R5*(1&amp;","&amp;Valori!$B$7),"ERRORE")</f>
        <v>#VALUE!</v>
      </c>
      <c r="W5" s="109">
        <f t="shared" si="1"/>
        <v>3</v>
      </c>
      <c r="X5" s="109">
        <f t="shared" si="1"/>
        <v>2</v>
      </c>
      <c r="Y5" s="109">
        <f t="shared" si="1"/>
        <v>1</v>
      </c>
      <c r="Z5" s="110" t="b">
        <f aca="true" t="shared" si="3" ref="Z5:Z17">ISNUMBER(W5+X5+Y5)</f>
        <v>1</v>
      </c>
      <c r="AA5" s="153"/>
      <c r="AB5"/>
      <c r="AC5" s="282" t="b">
        <f>ISNUMBER(W5+X5+Y5)</f>
        <v>1</v>
      </c>
      <c r="AG5" s="2"/>
      <c r="AH5" s="2"/>
      <c r="AI5" s="2"/>
      <c r="CA5" s="7"/>
    </row>
    <row r="6" spans="1:79" ht="12.75">
      <c r="A6" s="96">
        <v>10</v>
      </c>
      <c r="B6" s="67" t="s">
        <v>30</v>
      </c>
      <c r="C6" s="159">
        <f t="shared" si="2"/>
      </c>
      <c r="D6" s="67" t="s">
        <v>79</v>
      </c>
      <c r="E6" s="269" t="e">
        <f>MinutiLavoro*CostoMinuto</f>
        <v>#VALUE!</v>
      </c>
      <c r="F6" s="69" t="s">
        <v>80</v>
      </c>
      <c r="G6" s="272" t="e">
        <f>Costi_Variabili/Min_Lavoro_Anno*A6</f>
        <v>#VALUE!</v>
      </c>
      <c r="H6" s="69" t="s">
        <v>80</v>
      </c>
      <c r="I6" s="269" t="e">
        <f>Costi_Fissi/Min_Lavoro_Anno*A6</f>
        <v>#VALUE!</v>
      </c>
      <c r="J6" s="69" t="s">
        <v>81</v>
      </c>
      <c r="K6" s="158" t="e">
        <f t="shared" si="0"/>
        <v>#VALUE!</v>
      </c>
      <c r="L6" s="163">
        <v>0.77</v>
      </c>
      <c r="M6" s="67" t="s">
        <v>30</v>
      </c>
      <c r="N6" s="96">
        <v>1</v>
      </c>
      <c r="O6" s="67" t="s">
        <v>79</v>
      </c>
      <c r="P6" s="160">
        <f>IF(Istruzioni!$E$7&lt;&gt;"",CostoUnitMatPrima*Qtà,"")</f>
      </c>
      <c r="Q6" s="68" t="s">
        <v>84</v>
      </c>
      <c r="R6" s="272" t="e">
        <f>IF(Z6,P6*(-S6*Valori!$B$14/100+1)*(T6*Valori!$C$14/100+1)*(U6*Valori!$D$14/100+1)+K6,"ERRORE")</f>
        <v>#VALUE!</v>
      </c>
      <c r="S6" s="91">
        <v>3</v>
      </c>
      <c r="T6" s="92">
        <v>4</v>
      </c>
      <c r="U6" s="93">
        <v>3</v>
      </c>
      <c r="V6" s="160" t="e">
        <f>IF(Z6,R6*(1&amp;","&amp;Valori!$B$7),"ERRORE")</f>
        <v>#VALUE!</v>
      </c>
      <c r="W6" s="109"/>
      <c r="X6" s="109"/>
      <c r="Y6" s="109"/>
      <c r="Z6" s="110" t="b">
        <f t="shared" si="3"/>
        <v>1</v>
      </c>
      <c r="AA6" s="153"/>
      <c r="AB6"/>
      <c r="AC6" s="282" t="b">
        <f>ISNUMBER(W6+X6+Y6)</f>
        <v>1</v>
      </c>
      <c r="AG6" s="2"/>
      <c r="AH6" s="2"/>
      <c r="AI6" s="2"/>
      <c r="CA6" s="7"/>
    </row>
    <row r="7" spans="1:79" ht="12.75">
      <c r="A7" s="96">
        <v>10</v>
      </c>
      <c r="B7" s="67" t="s">
        <v>30</v>
      </c>
      <c r="C7" s="159">
        <f t="shared" si="2"/>
      </c>
      <c r="D7" s="67" t="s">
        <v>79</v>
      </c>
      <c r="E7" s="269" t="e">
        <f aca="true" t="shared" si="4" ref="E7:E17">MinutiLavoro*CostoMinuto</f>
        <v>#VALUE!</v>
      </c>
      <c r="F7" s="69" t="s">
        <v>80</v>
      </c>
      <c r="G7" s="272" t="e">
        <f aca="true" t="shared" si="5" ref="G7:G17">Costi_Variabili/Min_Lavoro_Anno*A7</f>
        <v>#VALUE!</v>
      </c>
      <c r="H7" s="69" t="s">
        <v>80</v>
      </c>
      <c r="I7" s="269" t="e">
        <f aca="true" t="shared" si="6" ref="I7:I17">Costi_Fissi/Min_Lavoro_Anno*A7</f>
        <v>#VALUE!</v>
      </c>
      <c r="J7" s="69" t="s">
        <v>81</v>
      </c>
      <c r="K7" s="158" t="e">
        <f t="shared" si="0"/>
        <v>#VALUE!</v>
      </c>
      <c r="L7" s="163">
        <v>0.77</v>
      </c>
      <c r="M7" s="67" t="s">
        <v>30</v>
      </c>
      <c r="N7" s="96">
        <v>2</v>
      </c>
      <c r="O7" s="67" t="s">
        <v>79</v>
      </c>
      <c r="P7" s="160">
        <f>IF(Istruzioni!$E$7&lt;&gt;"",CostoUnitMatPrima*Qtà,"")</f>
      </c>
      <c r="Q7" s="68" t="s">
        <v>85</v>
      </c>
      <c r="R7" s="272" t="e">
        <f>IF(Z7,P7*(-S7*Valori!$B$14/100+1)*(T7*Valori!$C$14/100+1)*(U7*Valori!$D$14/100+1)+K7,"ERRORE")</f>
        <v>#VALUE!</v>
      </c>
      <c r="S7" s="91">
        <v>3</v>
      </c>
      <c r="T7" s="92">
        <v>4</v>
      </c>
      <c r="U7" s="93">
        <v>3</v>
      </c>
      <c r="V7" s="160" t="e">
        <f>IF(Z7,R7*(1&amp;","&amp;Valori!$B$7),"ERRORE")</f>
        <v>#VALUE!</v>
      </c>
      <c r="W7" s="109"/>
      <c r="X7" s="109"/>
      <c r="Y7" s="109"/>
      <c r="Z7" s="110" t="b">
        <f t="shared" si="3"/>
        <v>1</v>
      </c>
      <c r="AA7" s="153"/>
      <c r="AB7"/>
      <c r="AC7" s="282" t="b">
        <f>ISNUMBER(W7+X7+Y7)</f>
        <v>1</v>
      </c>
      <c r="AG7" s="2"/>
      <c r="AH7" s="2"/>
      <c r="AI7" s="2"/>
      <c r="CA7" s="7"/>
    </row>
    <row r="8" spans="1:79" ht="12.75">
      <c r="A8" s="96">
        <v>10</v>
      </c>
      <c r="B8" s="67" t="s">
        <v>30</v>
      </c>
      <c r="C8" s="159">
        <f t="shared" si="2"/>
      </c>
      <c r="D8" s="67" t="s">
        <v>79</v>
      </c>
      <c r="E8" s="269" t="e">
        <f t="shared" si="4"/>
        <v>#VALUE!</v>
      </c>
      <c r="F8" s="69" t="s">
        <v>80</v>
      </c>
      <c r="G8" s="272" t="e">
        <f t="shared" si="5"/>
        <v>#VALUE!</v>
      </c>
      <c r="H8" s="69" t="s">
        <v>80</v>
      </c>
      <c r="I8" s="269" t="e">
        <f t="shared" si="6"/>
        <v>#VALUE!</v>
      </c>
      <c r="J8" s="69" t="s">
        <v>81</v>
      </c>
      <c r="K8" s="158" t="e">
        <f t="shared" si="0"/>
        <v>#VALUE!</v>
      </c>
      <c r="L8" s="163">
        <v>0.77</v>
      </c>
      <c r="M8" s="67" t="s">
        <v>30</v>
      </c>
      <c r="N8" s="96">
        <v>2</v>
      </c>
      <c r="O8" s="67" t="s">
        <v>79</v>
      </c>
      <c r="P8" s="160">
        <f>IF(Istruzioni!$E$7&lt;&gt;"",CostoUnitMatPrima*Qtà,"")</f>
      </c>
      <c r="Q8" s="68" t="s">
        <v>0</v>
      </c>
      <c r="R8" s="272" t="e">
        <f>IF(Z8,P8*(-S8*Valori!$B$14/100+1)*(T8*Valori!$C$14/100+1)*(U8*Valori!$D$14/100+1)+K8,"ERRORE")</f>
        <v>#VALUE!</v>
      </c>
      <c r="S8" s="91">
        <v>2</v>
      </c>
      <c r="T8" s="92">
        <v>4</v>
      </c>
      <c r="U8" s="93">
        <v>3</v>
      </c>
      <c r="V8" s="160" t="e">
        <f>IF(Z8,R8*(1&amp;","&amp;Valori!$B$7),"ERRORE")</f>
        <v>#VALUE!</v>
      </c>
      <c r="W8" s="109"/>
      <c r="X8" s="109"/>
      <c r="Y8" s="109"/>
      <c r="Z8" s="110" t="b">
        <f t="shared" si="3"/>
        <v>1</v>
      </c>
      <c r="AA8" s="153"/>
      <c r="AB8"/>
      <c r="AC8" s="282" t="b">
        <f>ISNUMBER(W8+X8+Y8)</f>
        <v>1</v>
      </c>
      <c r="AG8" s="2"/>
      <c r="AH8" s="2"/>
      <c r="AI8" s="2"/>
      <c r="CA8" s="7"/>
    </row>
    <row r="9" spans="1:79" ht="12.75">
      <c r="A9" s="96">
        <v>20</v>
      </c>
      <c r="B9" s="67" t="s">
        <v>30</v>
      </c>
      <c r="C9" s="159">
        <f t="shared" si="2"/>
      </c>
      <c r="D9" s="67" t="s">
        <v>79</v>
      </c>
      <c r="E9" s="269" t="e">
        <f t="shared" si="4"/>
        <v>#VALUE!</v>
      </c>
      <c r="F9" s="69" t="s">
        <v>80</v>
      </c>
      <c r="G9" s="272" t="e">
        <f t="shared" si="5"/>
        <v>#VALUE!</v>
      </c>
      <c r="H9" s="69" t="s">
        <v>80</v>
      </c>
      <c r="I9" s="269" t="e">
        <f t="shared" si="6"/>
        <v>#VALUE!</v>
      </c>
      <c r="J9" s="69" t="s">
        <v>81</v>
      </c>
      <c r="K9" s="158" t="e">
        <f t="shared" si="0"/>
        <v>#VALUE!</v>
      </c>
      <c r="L9" s="163">
        <v>0.31</v>
      </c>
      <c r="M9" s="67" t="s">
        <v>30</v>
      </c>
      <c r="N9" s="96">
        <v>4</v>
      </c>
      <c r="O9" s="67" t="s">
        <v>79</v>
      </c>
      <c r="P9" s="160">
        <f>IF(Istruzioni!$E$7&lt;&gt;"",CostoUnitMatPrima*Qtà,"")</f>
      </c>
      <c r="Q9" s="68" t="s">
        <v>1</v>
      </c>
      <c r="R9" s="272" t="e">
        <f>IF(Z9,P9*(-S9*Valori!$B$14/100+1)*(T9*Valori!$C$14/100+1)*(U9*Valori!$D$14/100+1)+K9,"ERRORE")</f>
        <v>#VALUE!</v>
      </c>
      <c r="S9" s="94">
        <v>1</v>
      </c>
      <c r="T9" s="95">
        <v>3</v>
      </c>
      <c r="U9" s="93">
        <v>4</v>
      </c>
      <c r="V9" s="160" t="e">
        <f>IF(Z9,R9*(1&amp;","&amp;Valori!$B$7),"ERRORE")</f>
        <v>#VALUE!</v>
      </c>
      <c r="W9" s="109">
        <f t="shared" si="1"/>
        <v>1</v>
      </c>
      <c r="X9" s="109">
        <f t="shared" si="1"/>
        <v>3</v>
      </c>
      <c r="Y9" s="109">
        <f t="shared" si="1"/>
        <v>4</v>
      </c>
      <c r="Z9" s="110" t="b">
        <f t="shared" si="3"/>
        <v>1</v>
      </c>
      <c r="AA9" s="153"/>
      <c r="AB9"/>
      <c r="AC9" s="282" t="b">
        <f aca="true" t="shared" si="7" ref="AC9:AC14">ISNUMBER(W9+X9+Y9)</f>
        <v>1</v>
      </c>
      <c r="AG9" s="2"/>
      <c r="AH9" s="2"/>
      <c r="AI9" s="2"/>
      <c r="CA9" s="7"/>
    </row>
    <row r="10" spans="1:79" ht="12.75">
      <c r="A10" s="96">
        <v>20</v>
      </c>
      <c r="B10" s="67" t="s">
        <v>30</v>
      </c>
      <c r="C10" s="159">
        <f t="shared" si="2"/>
      </c>
      <c r="D10" s="67" t="s">
        <v>81</v>
      </c>
      <c r="E10" s="269" t="e">
        <f t="shared" si="4"/>
        <v>#VALUE!</v>
      </c>
      <c r="F10" s="69" t="s">
        <v>80</v>
      </c>
      <c r="G10" s="272" t="e">
        <f t="shared" si="5"/>
        <v>#VALUE!</v>
      </c>
      <c r="H10" s="69" t="s">
        <v>80</v>
      </c>
      <c r="I10" s="269" t="e">
        <f t="shared" si="6"/>
        <v>#VALUE!</v>
      </c>
      <c r="J10" s="69" t="s">
        <v>81</v>
      </c>
      <c r="K10" s="158" t="e">
        <f t="shared" si="0"/>
        <v>#VALUE!</v>
      </c>
      <c r="L10" s="163">
        <v>0.41</v>
      </c>
      <c r="M10" s="67" t="s">
        <v>30</v>
      </c>
      <c r="N10" s="96">
        <v>4</v>
      </c>
      <c r="O10" s="67" t="s">
        <v>79</v>
      </c>
      <c r="P10" s="160">
        <f>IF(Istruzioni!$E$7&lt;&gt;"",CostoUnitMatPrima*Qtà,"")</f>
      </c>
      <c r="Q10" s="68" t="s">
        <v>2</v>
      </c>
      <c r="R10" s="272" t="e">
        <f>IF(Z10,P10*(-S10*Valori!$B$14/100+1)*(T10*Valori!$C$14/100+1)*(U10*Valori!$D$14/100+1)+K10,"ERRORE")</f>
        <v>#VALUE!</v>
      </c>
      <c r="S10" s="94">
        <v>1</v>
      </c>
      <c r="T10" s="95">
        <v>3</v>
      </c>
      <c r="U10" s="93">
        <v>4</v>
      </c>
      <c r="V10" s="160" t="e">
        <f>IF(Z10,R10*(1&amp;","&amp;Valori!$B$7),"ERRORE")</f>
        <v>#VALUE!</v>
      </c>
      <c r="W10" s="109">
        <f t="shared" si="1"/>
        <v>1</v>
      </c>
      <c r="X10" s="109">
        <f t="shared" si="1"/>
        <v>3</v>
      </c>
      <c r="Y10" s="109">
        <f t="shared" si="1"/>
        <v>4</v>
      </c>
      <c r="Z10" s="110" t="b">
        <f t="shared" si="3"/>
        <v>1</v>
      </c>
      <c r="AA10" s="153"/>
      <c r="AB10"/>
      <c r="AC10" s="282" t="b">
        <f t="shared" si="7"/>
        <v>1</v>
      </c>
      <c r="AG10" s="2"/>
      <c r="AH10" s="2"/>
      <c r="AI10" s="2"/>
      <c r="CA10" s="7"/>
    </row>
    <row r="11" spans="1:79" ht="12.75">
      <c r="A11" s="96">
        <v>20</v>
      </c>
      <c r="B11" s="67" t="s">
        <v>30</v>
      </c>
      <c r="C11" s="159">
        <f t="shared" si="2"/>
      </c>
      <c r="D11" s="67" t="s">
        <v>79</v>
      </c>
      <c r="E11" s="269" t="e">
        <f t="shared" si="4"/>
        <v>#VALUE!</v>
      </c>
      <c r="F11" s="69" t="s">
        <v>80</v>
      </c>
      <c r="G11" s="272" t="e">
        <f t="shared" si="5"/>
        <v>#VALUE!</v>
      </c>
      <c r="H11" s="69" t="s">
        <v>80</v>
      </c>
      <c r="I11" s="269" t="e">
        <f t="shared" si="6"/>
        <v>#VALUE!</v>
      </c>
      <c r="J11" s="69" t="s">
        <v>81</v>
      </c>
      <c r="K11" s="158" t="e">
        <f t="shared" si="0"/>
        <v>#VALUE!</v>
      </c>
      <c r="L11" s="163">
        <v>0.73</v>
      </c>
      <c r="M11" s="67" t="s">
        <v>30</v>
      </c>
      <c r="N11" s="96">
        <v>4</v>
      </c>
      <c r="O11" s="67" t="s">
        <v>79</v>
      </c>
      <c r="P11" s="160">
        <f>IF(Istruzioni!$E$7&lt;&gt;"",CostoUnitMatPrima*Qtà,"")</f>
      </c>
      <c r="Q11" s="68" t="s">
        <v>3</v>
      </c>
      <c r="R11" s="272" t="e">
        <f>IF(Z11,P11*(-S11*Valori!$B$14/100+1)*(T11*Valori!$C$14/100+1)*(U11*Valori!$D$14/100+1)+K11,"ERRORE")</f>
        <v>#VALUE!</v>
      </c>
      <c r="S11" s="94">
        <v>1</v>
      </c>
      <c r="T11" s="95">
        <v>3</v>
      </c>
      <c r="U11" s="93">
        <v>4</v>
      </c>
      <c r="V11" s="160" t="e">
        <f>IF(Z11,R11*(1&amp;","&amp;Valori!$B$7),"ERRORE")</f>
        <v>#VALUE!</v>
      </c>
      <c r="W11" s="109">
        <f t="shared" si="1"/>
        <v>1</v>
      </c>
      <c r="X11" s="109">
        <f t="shared" si="1"/>
        <v>3</v>
      </c>
      <c r="Y11" s="109">
        <f t="shared" si="1"/>
        <v>4</v>
      </c>
      <c r="Z11" s="110" t="b">
        <f t="shared" si="3"/>
        <v>1</v>
      </c>
      <c r="AA11" s="153"/>
      <c r="AB11"/>
      <c r="AC11" s="282" t="b">
        <f t="shared" si="7"/>
        <v>1</v>
      </c>
      <c r="AG11" s="2"/>
      <c r="AH11" s="2"/>
      <c r="AI11" s="2"/>
      <c r="CA11" s="7"/>
    </row>
    <row r="12" spans="1:79" ht="12.75">
      <c r="A12" s="96">
        <v>25</v>
      </c>
      <c r="B12" s="67" t="s">
        <v>30</v>
      </c>
      <c r="C12" s="159">
        <f t="shared" si="2"/>
      </c>
      <c r="D12" s="67" t="s">
        <v>79</v>
      </c>
      <c r="E12" s="269" t="e">
        <f t="shared" si="4"/>
        <v>#VALUE!</v>
      </c>
      <c r="F12" s="69" t="s">
        <v>80</v>
      </c>
      <c r="G12" s="272" t="e">
        <f t="shared" si="5"/>
        <v>#VALUE!</v>
      </c>
      <c r="H12" s="69" t="s">
        <v>80</v>
      </c>
      <c r="I12" s="269" t="e">
        <f t="shared" si="6"/>
        <v>#VALUE!</v>
      </c>
      <c r="J12" s="69" t="s">
        <v>81</v>
      </c>
      <c r="K12" s="158" t="e">
        <f t="shared" si="0"/>
        <v>#VALUE!</v>
      </c>
      <c r="L12" s="163">
        <v>0.31</v>
      </c>
      <c r="M12" s="67" t="s">
        <v>30</v>
      </c>
      <c r="N12" s="96">
        <v>6</v>
      </c>
      <c r="O12" s="67" t="s">
        <v>79</v>
      </c>
      <c r="P12" s="160">
        <f>IF(Istruzioni!$E$7&lt;&gt;"",CostoUnitMatPrima*Qtà,"")</f>
      </c>
      <c r="Q12" s="68" t="s">
        <v>4</v>
      </c>
      <c r="R12" s="272" t="e">
        <f>IF(Z12,P12*(-S12*Valori!$B$14/100+1)*(T12*Valori!$C$14/100+1)*(U12*Valori!$D$14/100+1)+K12,"ERRORE")</f>
        <v>#VALUE!</v>
      </c>
      <c r="S12" s="94">
        <v>1</v>
      </c>
      <c r="T12" s="95">
        <v>3</v>
      </c>
      <c r="U12" s="93">
        <v>4</v>
      </c>
      <c r="V12" s="160" t="e">
        <f>IF(Z12,R12*(1&amp;","&amp;Valori!$B$7),"ERRORE")</f>
        <v>#VALUE!</v>
      </c>
      <c r="W12" s="109">
        <f t="shared" si="1"/>
        <v>1</v>
      </c>
      <c r="X12" s="109">
        <f t="shared" si="1"/>
        <v>3</v>
      </c>
      <c r="Y12" s="109">
        <f t="shared" si="1"/>
        <v>4</v>
      </c>
      <c r="Z12" s="110" t="b">
        <f t="shared" si="3"/>
        <v>1</v>
      </c>
      <c r="AA12" s="153"/>
      <c r="AB12"/>
      <c r="AC12" s="282" t="b">
        <f t="shared" si="7"/>
        <v>1</v>
      </c>
      <c r="AG12" s="2"/>
      <c r="AH12" s="2"/>
      <c r="AI12" s="2"/>
      <c r="CA12" s="7"/>
    </row>
    <row r="13" spans="1:79" ht="12.75">
      <c r="A13" s="96">
        <v>25</v>
      </c>
      <c r="B13" s="67" t="s">
        <v>30</v>
      </c>
      <c r="C13" s="159">
        <f t="shared" si="2"/>
      </c>
      <c r="D13" s="67" t="s">
        <v>79</v>
      </c>
      <c r="E13" s="269" t="e">
        <f t="shared" si="4"/>
        <v>#VALUE!</v>
      </c>
      <c r="F13" s="69" t="s">
        <v>80</v>
      </c>
      <c r="G13" s="272" t="e">
        <f t="shared" si="5"/>
        <v>#VALUE!</v>
      </c>
      <c r="H13" s="69" t="s">
        <v>80</v>
      </c>
      <c r="I13" s="269" t="e">
        <f t="shared" si="6"/>
        <v>#VALUE!</v>
      </c>
      <c r="J13" s="69" t="s">
        <v>81</v>
      </c>
      <c r="K13" s="158" t="e">
        <f t="shared" si="0"/>
        <v>#VALUE!</v>
      </c>
      <c r="L13" s="163">
        <v>0.41</v>
      </c>
      <c r="M13" s="67" t="s">
        <v>30</v>
      </c>
      <c r="N13" s="96">
        <v>6</v>
      </c>
      <c r="O13" s="67" t="s">
        <v>79</v>
      </c>
      <c r="P13" s="160">
        <f>IF(Istruzioni!$E$7&lt;&gt;"",CostoUnitMatPrima*Qtà,"")</f>
      </c>
      <c r="Q13" s="68" t="s">
        <v>5</v>
      </c>
      <c r="R13" s="272" t="e">
        <f>IF(Z13,P13*(-S13*Valori!$B$14/100+1)*(T13*Valori!$C$14/100+1)*(U13*Valori!$D$14/100+1)+K13,"ERRORE")</f>
        <v>#VALUE!</v>
      </c>
      <c r="S13" s="94">
        <v>1</v>
      </c>
      <c r="T13" s="95">
        <v>3</v>
      </c>
      <c r="U13" s="93">
        <v>4</v>
      </c>
      <c r="V13" s="160" t="e">
        <f>IF(Z13,R13*(1&amp;","&amp;Valori!$B$7),"ERRORE")</f>
        <v>#VALUE!</v>
      </c>
      <c r="W13" s="109">
        <f t="shared" si="1"/>
        <v>1</v>
      </c>
      <c r="X13" s="109">
        <f t="shared" si="1"/>
        <v>3</v>
      </c>
      <c r="Y13" s="109">
        <f t="shared" si="1"/>
        <v>4</v>
      </c>
      <c r="Z13" s="110" t="b">
        <f t="shared" si="3"/>
        <v>1</v>
      </c>
      <c r="AA13" s="153"/>
      <c r="AB13"/>
      <c r="AC13" s="282" t="b">
        <f t="shared" si="7"/>
        <v>1</v>
      </c>
      <c r="AG13" s="2"/>
      <c r="AH13" s="2"/>
      <c r="AI13" s="2"/>
      <c r="CA13" s="7"/>
    </row>
    <row r="14" spans="1:79" ht="12.75">
      <c r="A14" s="96">
        <v>25</v>
      </c>
      <c r="B14" s="67" t="s">
        <v>30</v>
      </c>
      <c r="C14" s="159">
        <f t="shared" si="2"/>
      </c>
      <c r="D14" s="67" t="s">
        <v>79</v>
      </c>
      <c r="E14" s="269" t="e">
        <f t="shared" si="4"/>
        <v>#VALUE!</v>
      </c>
      <c r="F14" s="69" t="s">
        <v>80</v>
      </c>
      <c r="G14" s="272" t="e">
        <f t="shared" si="5"/>
        <v>#VALUE!</v>
      </c>
      <c r="H14" s="69" t="s">
        <v>80</v>
      </c>
      <c r="I14" s="269" t="e">
        <f t="shared" si="6"/>
        <v>#VALUE!</v>
      </c>
      <c r="J14" s="69" t="s">
        <v>81</v>
      </c>
      <c r="K14" s="158" t="e">
        <f t="shared" si="0"/>
        <v>#VALUE!</v>
      </c>
      <c r="L14" s="163">
        <v>0.73</v>
      </c>
      <c r="M14" s="67" t="s">
        <v>30</v>
      </c>
      <c r="N14" s="96">
        <v>6</v>
      </c>
      <c r="O14" s="67" t="s">
        <v>79</v>
      </c>
      <c r="P14" s="160">
        <f>IF(Istruzioni!$E$7&lt;&gt;"",CostoUnitMatPrima*Qtà,"")</f>
      </c>
      <c r="Q14" s="68" t="s">
        <v>6</v>
      </c>
      <c r="R14" s="272" t="e">
        <f>IF(Z14,P14*(-S14*Valori!$B$14/100+1)*(T14*Valori!$C$14/100+1)*(U14*Valori!$D$14/100+1)+K14,"ERRORE")</f>
        <v>#VALUE!</v>
      </c>
      <c r="S14" s="94">
        <v>1</v>
      </c>
      <c r="T14" s="95">
        <v>3</v>
      </c>
      <c r="U14" s="93">
        <v>4</v>
      </c>
      <c r="V14" s="160" t="e">
        <f>IF(Z14,R14*(1&amp;","&amp;Valori!$B$7),"ERRORE")</f>
        <v>#VALUE!</v>
      </c>
      <c r="W14" s="109">
        <f t="shared" si="1"/>
        <v>1</v>
      </c>
      <c r="X14" s="109">
        <f t="shared" si="1"/>
        <v>3</v>
      </c>
      <c r="Y14" s="109">
        <f t="shared" si="1"/>
        <v>4</v>
      </c>
      <c r="Z14" s="110" t="b">
        <f t="shared" si="3"/>
        <v>1</v>
      </c>
      <c r="AA14" s="153"/>
      <c r="AB14"/>
      <c r="AC14" s="282" t="b">
        <f t="shared" si="7"/>
        <v>1</v>
      </c>
      <c r="AG14" s="2"/>
      <c r="AH14" s="2"/>
      <c r="AI14" s="2"/>
      <c r="CA14" s="7"/>
    </row>
    <row r="15" spans="1:79" ht="12.75">
      <c r="A15" s="96">
        <v>3</v>
      </c>
      <c r="B15" s="67" t="s">
        <v>30</v>
      </c>
      <c r="C15" s="159">
        <f t="shared" si="2"/>
      </c>
      <c r="D15" s="67" t="s">
        <v>79</v>
      </c>
      <c r="E15" s="269" t="e">
        <f t="shared" si="4"/>
        <v>#VALUE!</v>
      </c>
      <c r="F15" s="69" t="s">
        <v>80</v>
      </c>
      <c r="G15" s="272" t="e">
        <f t="shared" si="5"/>
        <v>#VALUE!</v>
      </c>
      <c r="H15" s="69" t="s">
        <v>80</v>
      </c>
      <c r="I15" s="269" t="e">
        <f t="shared" si="6"/>
        <v>#VALUE!</v>
      </c>
      <c r="J15" s="69" t="s">
        <v>81</v>
      </c>
      <c r="K15" s="158" t="e">
        <f t="shared" si="0"/>
        <v>#VALUE!</v>
      </c>
      <c r="L15" s="163">
        <v>0.76</v>
      </c>
      <c r="M15" s="67" t="s">
        <v>30</v>
      </c>
      <c r="N15" s="96">
        <v>4</v>
      </c>
      <c r="O15" s="67" t="s">
        <v>79</v>
      </c>
      <c r="P15" s="160">
        <f>IF(Istruzioni!$E$7&lt;&gt;"",CostoUnitMatPrima*Qtà,"")</f>
      </c>
      <c r="Q15" s="68" t="s">
        <v>7</v>
      </c>
      <c r="R15" s="272" t="e">
        <f>IF(Z15,P15*(-S15*Valori!$B$14/100+1)*(T15*Valori!$C$14/100+1)*(U15*Valori!$D$14/100+1)+K15,"ERRORE")</f>
        <v>#VALUE!</v>
      </c>
      <c r="S15" s="94">
        <v>1</v>
      </c>
      <c r="T15" s="95">
        <v>2</v>
      </c>
      <c r="U15" s="93">
        <v>1</v>
      </c>
      <c r="V15" s="160" t="e">
        <f>IF(Z15,R15*(1&amp;","&amp;Valori!$B$7),"ERRORE")</f>
        <v>#VALUE!</v>
      </c>
      <c r="W15" s="109">
        <f t="shared" si="1"/>
        <v>1</v>
      </c>
      <c r="X15" s="109">
        <f t="shared" si="1"/>
        <v>2</v>
      </c>
      <c r="Y15" s="109">
        <f t="shared" si="1"/>
        <v>1</v>
      </c>
      <c r="Z15" s="110" t="b">
        <f t="shared" si="3"/>
        <v>1</v>
      </c>
      <c r="AA15" s="153"/>
      <c r="AB15"/>
      <c r="AC15" s="284"/>
      <c r="AG15" s="2"/>
      <c r="AH15" s="2"/>
      <c r="AI15" s="2"/>
      <c r="CA15" s="7"/>
    </row>
    <row r="16" spans="1:79" ht="12.75">
      <c r="A16" s="96">
        <v>3</v>
      </c>
      <c r="B16" s="67" t="s">
        <v>30</v>
      </c>
      <c r="C16" s="159">
        <f t="shared" si="2"/>
      </c>
      <c r="D16" s="67" t="s">
        <v>79</v>
      </c>
      <c r="E16" s="269" t="e">
        <f t="shared" si="4"/>
        <v>#VALUE!</v>
      </c>
      <c r="F16" s="69" t="s">
        <v>80</v>
      </c>
      <c r="G16" s="272" t="e">
        <f t="shared" si="5"/>
        <v>#VALUE!</v>
      </c>
      <c r="H16" s="69" t="s">
        <v>80</v>
      </c>
      <c r="I16" s="269" t="e">
        <f t="shared" si="6"/>
        <v>#VALUE!</v>
      </c>
      <c r="J16" s="69" t="s">
        <v>81</v>
      </c>
      <c r="K16" s="158" t="e">
        <f t="shared" si="0"/>
        <v>#VALUE!</v>
      </c>
      <c r="L16" s="163">
        <v>0.31</v>
      </c>
      <c r="M16" s="67" t="s">
        <v>30</v>
      </c>
      <c r="N16" s="96">
        <v>3</v>
      </c>
      <c r="O16" s="67" t="s">
        <v>79</v>
      </c>
      <c r="P16" s="160">
        <f>IF(Istruzioni!$E$7&lt;&gt;"",CostoUnitMatPrima*Qtà,"")</f>
      </c>
      <c r="Q16" s="68" t="s">
        <v>8</v>
      </c>
      <c r="R16" s="272" t="e">
        <f>IF(Z16,P16*(-S16*Valori!$B$14/100+1)*(T16*Valori!$C$14/100+1)*(U16*Valori!$D$14/100+1)+K16,"ERRORE")</f>
        <v>#VALUE!</v>
      </c>
      <c r="S16" s="94">
        <v>2</v>
      </c>
      <c r="T16" s="95">
        <v>3</v>
      </c>
      <c r="U16" s="93">
        <v>3</v>
      </c>
      <c r="V16" s="160" t="e">
        <f>IF(Z16,R16*(1&amp;","&amp;Valori!$B$7),"ERRORE")</f>
        <v>#VALUE!</v>
      </c>
      <c r="W16" s="109">
        <f t="shared" si="1"/>
        <v>2</v>
      </c>
      <c r="X16" s="109">
        <f t="shared" si="1"/>
        <v>3</v>
      </c>
      <c r="Y16" s="109">
        <f t="shared" si="1"/>
        <v>3</v>
      </c>
      <c r="Z16" s="110" t="b">
        <f t="shared" si="3"/>
        <v>1</v>
      </c>
      <c r="AA16" s="153"/>
      <c r="AB16"/>
      <c r="AC16" s="284"/>
      <c r="AG16" s="2"/>
      <c r="AH16" s="2"/>
      <c r="AI16" s="2"/>
      <c r="CA16" s="7"/>
    </row>
    <row r="17" spans="1:79" ht="12.75">
      <c r="A17" s="96">
        <v>3</v>
      </c>
      <c r="B17" s="67" t="s">
        <v>30</v>
      </c>
      <c r="C17" s="159">
        <f t="shared" si="2"/>
      </c>
      <c r="D17" s="67" t="s">
        <v>79</v>
      </c>
      <c r="E17" s="269" t="e">
        <f t="shared" si="4"/>
        <v>#VALUE!</v>
      </c>
      <c r="F17" s="69" t="s">
        <v>80</v>
      </c>
      <c r="G17" s="272" t="e">
        <f t="shared" si="5"/>
        <v>#VALUE!</v>
      </c>
      <c r="H17" s="69" t="s">
        <v>80</v>
      </c>
      <c r="I17" s="269" t="e">
        <f t="shared" si="6"/>
        <v>#VALUE!</v>
      </c>
      <c r="J17" s="69" t="s">
        <v>81</v>
      </c>
      <c r="K17" s="158" t="e">
        <f t="shared" si="0"/>
        <v>#VALUE!</v>
      </c>
      <c r="L17" s="163">
        <v>0.73</v>
      </c>
      <c r="M17" s="67" t="s">
        <v>30</v>
      </c>
      <c r="N17" s="96">
        <v>3</v>
      </c>
      <c r="O17" s="67" t="s">
        <v>79</v>
      </c>
      <c r="P17" s="160">
        <f>IF(Istruzioni!$E$7&lt;&gt;"",CostoUnitMatPrima*Qtà,"")</f>
      </c>
      <c r="Q17" s="68" t="s">
        <v>9</v>
      </c>
      <c r="R17" s="272" t="e">
        <f>IF(Z17,P17*(-S17*Valori!$B$14/100+1)*(T17*Valori!$C$14/100+1)*(U17*Valori!$D$14/100+1)+K17,"ERRORE")</f>
        <v>#VALUE!</v>
      </c>
      <c r="S17" s="94">
        <v>1</v>
      </c>
      <c r="T17" s="95">
        <v>2</v>
      </c>
      <c r="U17" s="93">
        <v>3</v>
      </c>
      <c r="V17" s="160" t="e">
        <f>IF(Z17,R17*(1&amp;","&amp;Valori!$B$7),"ERRORE")</f>
        <v>#VALUE!</v>
      </c>
      <c r="W17" s="109">
        <f t="shared" si="1"/>
        <v>1</v>
      </c>
      <c r="X17" s="109">
        <f t="shared" si="1"/>
        <v>2</v>
      </c>
      <c r="Y17" s="109">
        <f t="shared" si="1"/>
        <v>3</v>
      </c>
      <c r="Z17" s="110" t="b">
        <f t="shared" si="3"/>
        <v>1</v>
      </c>
      <c r="AA17" s="154"/>
      <c r="AB17"/>
      <c r="AC17" s="284"/>
      <c r="AG17" s="2"/>
      <c r="AH17" s="2"/>
      <c r="AI17" s="2"/>
      <c r="CA17" s="7"/>
    </row>
    <row r="18" spans="1:79" ht="12.75">
      <c r="A18" s="117"/>
      <c r="B18" s="30"/>
      <c r="C18" s="36"/>
      <c r="D18" s="30"/>
      <c r="E18" s="271"/>
      <c r="F18" s="35"/>
      <c r="G18" s="273"/>
      <c r="H18" s="35"/>
      <c r="I18" s="270"/>
      <c r="J18" s="35"/>
      <c r="K18" s="14"/>
      <c r="L18" s="15"/>
      <c r="M18" s="30"/>
      <c r="N18" s="16"/>
      <c r="O18" s="30"/>
      <c r="P18" s="14"/>
      <c r="Q18" s="17" t="s">
        <v>10</v>
      </c>
      <c r="R18" s="274"/>
      <c r="S18" s="18"/>
      <c r="T18" s="18"/>
      <c r="U18" s="18"/>
      <c r="V18" s="150">
        <f>IF(Istruzioni!$E$7&lt;&gt;"",Istruzioni!$G$12,"")</f>
      </c>
      <c r="W18" s="109"/>
      <c r="X18" s="109"/>
      <c r="Y18" s="109"/>
      <c r="Z18" s="109"/>
      <c r="AA18" s="150"/>
      <c r="AB18"/>
      <c r="AC18" s="284"/>
      <c r="AG18" s="2"/>
      <c r="AH18" s="2"/>
      <c r="AI18" s="2"/>
      <c r="CA18" s="14"/>
    </row>
    <row r="19" spans="1:79" ht="12.75">
      <c r="A19" s="97">
        <v>60</v>
      </c>
      <c r="B19" s="73" t="s">
        <v>30</v>
      </c>
      <c r="C19" s="162">
        <f aca="true" t="shared" si="8" ref="C19:C31">CostoMinuto</f>
      </c>
      <c r="D19" s="73"/>
      <c r="E19" s="269" t="e">
        <f aca="true" t="shared" si="9" ref="E19:E31">MinutiLavoro*CostoMinuto</f>
        <v>#VALUE!</v>
      </c>
      <c r="F19" s="74" t="s">
        <v>80</v>
      </c>
      <c r="G19" s="272" t="e">
        <f aca="true" t="shared" si="10" ref="G19:G31">Costi_Variabili/Min_Lavoro_Anno*A19</f>
        <v>#VALUE!</v>
      </c>
      <c r="H19" s="74" t="s">
        <v>80</v>
      </c>
      <c r="I19" s="269" t="e">
        <f aca="true" t="shared" si="11" ref="I19:I31">Costi_Fissi/Min_Lavoro_Anno*A19</f>
        <v>#VALUE!</v>
      </c>
      <c r="J19" s="74" t="s">
        <v>81</v>
      </c>
      <c r="K19" s="158" t="e">
        <f t="shared" si="0"/>
        <v>#VALUE!</v>
      </c>
      <c r="L19" s="77"/>
      <c r="M19" s="73"/>
      <c r="N19" s="75"/>
      <c r="O19" s="73"/>
      <c r="P19" s="160">
        <f>IF(Istruzioni!$E$7&lt;&gt;"",CostoUnitMatPrima*Qtà,"")</f>
      </c>
      <c r="Q19" s="72" t="s">
        <v>194</v>
      </c>
      <c r="R19" s="272" t="e">
        <f>IF(Z19,P19*(-S19*Valori!$B$14/100+1)*(T19*Valori!$C$14/100+1)*(U19*Valori!$D$14/100+1)+K19,"ERRORE")</f>
        <v>#VALUE!</v>
      </c>
      <c r="S19" s="71">
        <v>1</v>
      </c>
      <c r="T19" s="77">
        <v>1</v>
      </c>
      <c r="U19" s="70">
        <v>1</v>
      </c>
      <c r="V19" s="160" t="e">
        <f>IF(Z19,R19*(1&amp;","&amp;Valori!$B$7),"ERRORE")</f>
        <v>#VALUE!</v>
      </c>
      <c r="W19" s="109">
        <f t="shared" si="1"/>
        <v>1</v>
      </c>
      <c r="X19" s="109">
        <f t="shared" si="1"/>
        <v>1</v>
      </c>
      <c r="Y19" s="109">
        <f t="shared" si="1"/>
        <v>1</v>
      </c>
      <c r="Z19" s="110" t="b">
        <f aca="true" t="shared" si="12" ref="Z19:Z31">ISNUMBER(W19+X19+Y19)</f>
        <v>1</v>
      </c>
      <c r="AA19" s="152"/>
      <c r="AB19"/>
      <c r="AC19" s="284"/>
      <c r="AG19" s="2"/>
      <c r="AH19" s="2"/>
      <c r="AI19" s="2"/>
      <c r="CA19" s="7"/>
    </row>
    <row r="20" spans="1:79" ht="12.75">
      <c r="A20" s="97">
        <v>60</v>
      </c>
      <c r="B20" s="73" t="s">
        <v>30</v>
      </c>
      <c r="C20" s="162">
        <f t="shared" si="8"/>
      </c>
      <c r="D20" s="73"/>
      <c r="E20" s="269" t="e">
        <f t="shared" si="9"/>
        <v>#VALUE!</v>
      </c>
      <c r="F20" s="74" t="s">
        <v>80</v>
      </c>
      <c r="G20" s="272" t="e">
        <f t="shared" si="10"/>
        <v>#VALUE!</v>
      </c>
      <c r="H20" s="74" t="s">
        <v>80</v>
      </c>
      <c r="I20" s="269" t="e">
        <f t="shared" si="11"/>
        <v>#VALUE!</v>
      </c>
      <c r="J20" s="74" t="s">
        <v>81</v>
      </c>
      <c r="K20" s="158" t="e">
        <f t="shared" si="0"/>
        <v>#VALUE!</v>
      </c>
      <c r="L20" s="77"/>
      <c r="M20" s="73"/>
      <c r="N20" s="75"/>
      <c r="O20" s="73"/>
      <c r="P20" s="160">
        <f>IF(Istruzioni!$E$7&lt;&gt;"",CostoUnitMatPrima*Qtà,"")</f>
      </c>
      <c r="Q20" s="72" t="s">
        <v>195</v>
      </c>
      <c r="R20" s="272" t="e">
        <f>IF(Z20,P20*(-S20*Valori!$B$14/100+1)*(T20*Valori!$C$14/100+1)*(U20*Valori!$D$14/100+1)+K20,"ERRORE")</f>
        <v>#VALUE!</v>
      </c>
      <c r="S20" s="71">
        <v>1</v>
      </c>
      <c r="T20" s="77">
        <v>1</v>
      </c>
      <c r="U20" s="70">
        <v>1</v>
      </c>
      <c r="V20" s="160" t="e">
        <f>IF(Z20,R20*(1&amp;","&amp;Valori!$B$7),"ERRORE")</f>
        <v>#VALUE!</v>
      </c>
      <c r="W20" s="109">
        <f t="shared" si="1"/>
        <v>1</v>
      </c>
      <c r="X20" s="109">
        <f t="shared" si="1"/>
        <v>1</v>
      </c>
      <c r="Y20" s="109">
        <f t="shared" si="1"/>
        <v>1</v>
      </c>
      <c r="Z20" s="110" t="b">
        <f t="shared" si="12"/>
        <v>1</v>
      </c>
      <c r="AA20" s="153"/>
      <c r="AB20"/>
      <c r="AC20" s="284"/>
      <c r="AG20" s="2"/>
      <c r="AH20" s="2"/>
      <c r="AI20" s="2"/>
      <c r="CA20" s="7"/>
    </row>
    <row r="21" spans="1:79" ht="12.75">
      <c r="A21" s="97">
        <v>30</v>
      </c>
      <c r="B21" s="73" t="s">
        <v>30</v>
      </c>
      <c r="C21" s="162">
        <f t="shared" si="8"/>
      </c>
      <c r="D21" s="73" t="s">
        <v>79</v>
      </c>
      <c r="E21" s="269" t="e">
        <f t="shared" si="9"/>
        <v>#VALUE!</v>
      </c>
      <c r="F21" s="74" t="s">
        <v>80</v>
      </c>
      <c r="G21" s="272" t="e">
        <f t="shared" si="10"/>
        <v>#VALUE!</v>
      </c>
      <c r="H21" s="74" t="s">
        <v>80</v>
      </c>
      <c r="I21" s="269" t="e">
        <f t="shared" si="11"/>
        <v>#VALUE!</v>
      </c>
      <c r="J21" s="74" t="s">
        <v>81</v>
      </c>
      <c r="K21" s="158" t="e">
        <f t="shared" si="0"/>
        <v>#VALUE!</v>
      </c>
      <c r="L21" s="164">
        <v>0.26</v>
      </c>
      <c r="M21" s="73" t="s">
        <v>30</v>
      </c>
      <c r="N21" s="97">
        <v>20</v>
      </c>
      <c r="O21" s="73" t="s">
        <v>79</v>
      </c>
      <c r="P21" s="160">
        <f>IF(Istruzioni!$E$7&lt;&gt;"",CostoUnitMatPrima*Qtà,"")</f>
      </c>
      <c r="Q21" s="72" t="s">
        <v>196</v>
      </c>
      <c r="R21" s="272" t="e">
        <f>IF(Z21,P21*(-S21*Valori!$B$14/100+1)*(T21*Valori!$C$14/100+1)*(U21*Valori!$D$14/100+1)+K21,"ERRORE")</f>
        <v>#VALUE!</v>
      </c>
      <c r="S21" s="94">
        <v>1</v>
      </c>
      <c r="T21" s="98">
        <v>3</v>
      </c>
      <c r="U21" s="93">
        <v>3</v>
      </c>
      <c r="V21" s="160" t="e">
        <f>IF(Z21,R21*(1&amp;","&amp;Valori!$B$7),"ERRORE")</f>
        <v>#VALUE!</v>
      </c>
      <c r="W21" s="109">
        <f t="shared" si="1"/>
        <v>1</v>
      </c>
      <c r="X21" s="109">
        <f t="shared" si="1"/>
        <v>3</v>
      </c>
      <c r="Y21" s="109">
        <f t="shared" si="1"/>
        <v>3</v>
      </c>
      <c r="Z21" s="110" t="b">
        <f t="shared" si="12"/>
        <v>1</v>
      </c>
      <c r="AA21" s="153"/>
      <c r="AB21"/>
      <c r="AC21" s="284"/>
      <c r="AG21" s="2"/>
      <c r="AH21" s="2"/>
      <c r="AI21" s="2"/>
      <c r="CA21" s="7"/>
    </row>
    <row r="22" spans="1:79" ht="12.75">
      <c r="A22" s="97">
        <v>20</v>
      </c>
      <c r="B22" s="73" t="s">
        <v>30</v>
      </c>
      <c r="C22" s="162">
        <f t="shared" si="8"/>
      </c>
      <c r="D22" s="73" t="s">
        <v>79</v>
      </c>
      <c r="E22" s="269" t="e">
        <f t="shared" si="9"/>
        <v>#VALUE!</v>
      </c>
      <c r="F22" s="74" t="s">
        <v>80</v>
      </c>
      <c r="G22" s="272" t="e">
        <f t="shared" si="10"/>
        <v>#VALUE!</v>
      </c>
      <c r="H22" s="74" t="s">
        <v>80</v>
      </c>
      <c r="I22" s="269" t="e">
        <f t="shared" si="11"/>
        <v>#VALUE!</v>
      </c>
      <c r="J22" s="74" t="s">
        <v>81</v>
      </c>
      <c r="K22" s="158" t="e">
        <f t="shared" si="0"/>
        <v>#VALUE!</v>
      </c>
      <c r="L22" s="164">
        <v>0.5</v>
      </c>
      <c r="M22" s="73" t="s">
        <v>30</v>
      </c>
      <c r="N22" s="97">
        <v>12</v>
      </c>
      <c r="O22" s="73" t="s">
        <v>79</v>
      </c>
      <c r="P22" s="160">
        <f>IF(Istruzioni!$E$7&lt;&gt;"",CostoUnitMatPrima*Qtà,"")</f>
      </c>
      <c r="Q22" s="72" t="s">
        <v>197</v>
      </c>
      <c r="R22" s="272" t="e">
        <f>IF(Z22,P22*(-S22*Valori!$B$14/100+1)*(T22*Valori!$C$14/100+1)*(U22*Valori!$D$14/100+1)+K22,"ERRORE")</f>
        <v>#VALUE!</v>
      </c>
      <c r="S22" s="94">
        <v>1</v>
      </c>
      <c r="T22" s="98">
        <v>3</v>
      </c>
      <c r="U22" s="93">
        <v>3</v>
      </c>
      <c r="V22" s="160" t="e">
        <f>IF(Z22,R22*(1&amp;","&amp;Valori!$B$7),"ERRORE")</f>
        <v>#VALUE!</v>
      </c>
      <c r="W22" s="109">
        <f t="shared" si="1"/>
        <v>1</v>
      </c>
      <c r="X22" s="109">
        <f t="shared" si="1"/>
        <v>3</v>
      </c>
      <c r="Y22" s="109">
        <f t="shared" si="1"/>
        <v>3</v>
      </c>
      <c r="Z22" s="110" t="b">
        <f t="shared" si="12"/>
        <v>1</v>
      </c>
      <c r="AA22" s="153"/>
      <c r="AB22"/>
      <c r="AC22" s="284"/>
      <c r="AG22" s="2"/>
      <c r="AH22" s="2"/>
      <c r="AI22" s="2"/>
      <c r="CA22" s="7"/>
    </row>
    <row r="23" spans="1:79" ht="12.75">
      <c r="A23" s="97">
        <v>30</v>
      </c>
      <c r="B23" s="73" t="s">
        <v>30</v>
      </c>
      <c r="C23" s="162">
        <f t="shared" si="8"/>
      </c>
      <c r="D23" s="73" t="s">
        <v>79</v>
      </c>
      <c r="E23" s="269" t="e">
        <f t="shared" si="9"/>
        <v>#VALUE!</v>
      </c>
      <c r="F23" s="74" t="s">
        <v>80</v>
      </c>
      <c r="G23" s="272" t="e">
        <f t="shared" si="10"/>
        <v>#VALUE!</v>
      </c>
      <c r="H23" s="74" t="s">
        <v>80</v>
      </c>
      <c r="I23" s="269" t="e">
        <f t="shared" si="11"/>
        <v>#VALUE!</v>
      </c>
      <c r="J23" s="74" t="s">
        <v>81</v>
      </c>
      <c r="K23" s="158" t="e">
        <f t="shared" si="0"/>
        <v>#VALUE!</v>
      </c>
      <c r="L23" s="164">
        <v>7.15</v>
      </c>
      <c r="M23" s="73" t="s">
        <v>30</v>
      </c>
      <c r="N23" s="97">
        <v>1</v>
      </c>
      <c r="O23" s="73" t="s">
        <v>79</v>
      </c>
      <c r="P23" s="160">
        <f>IF(Istruzioni!$E$7&lt;&gt;"",CostoUnitMatPrima*Qtà,"")</f>
      </c>
      <c r="Q23" s="72" t="s">
        <v>198</v>
      </c>
      <c r="R23" s="272" t="e">
        <f>IF(Z23,P23*(-S23*Valori!$B$14/100+1)*(T23*Valori!$C$14/100+1)*(U23*Valori!$D$14/100+1)+K23,"ERRORE")</f>
        <v>#VALUE!</v>
      </c>
      <c r="S23" s="94">
        <v>1</v>
      </c>
      <c r="T23" s="98">
        <v>3</v>
      </c>
      <c r="U23" s="93">
        <v>5</v>
      </c>
      <c r="V23" s="160" t="e">
        <f>IF(Z23,R23*(1&amp;","&amp;Valori!$B$7),"ERRORE")</f>
        <v>#VALUE!</v>
      </c>
      <c r="W23" s="109">
        <f aca="true" t="shared" si="13" ref="W23:Y38">IF(S23&lt;=0,"errore",IF(S23&gt;5,"errore",S23))</f>
        <v>1</v>
      </c>
      <c r="X23" s="109">
        <f t="shared" si="13"/>
        <v>3</v>
      </c>
      <c r="Y23" s="109">
        <f t="shared" si="13"/>
        <v>5</v>
      </c>
      <c r="Z23" s="110" t="b">
        <f t="shared" si="12"/>
        <v>1</v>
      </c>
      <c r="AA23" s="153"/>
      <c r="AB23"/>
      <c r="AC23" s="284"/>
      <c r="AG23" s="2"/>
      <c r="AH23" s="2"/>
      <c r="AI23" s="2"/>
      <c r="CA23" s="7"/>
    </row>
    <row r="24" spans="1:79" ht="12.75">
      <c r="A24" s="97">
        <v>30</v>
      </c>
      <c r="B24" s="73" t="s">
        <v>30</v>
      </c>
      <c r="C24" s="162">
        <f t="shared" si="8"/>
      </c>
      <c r="D24" s="73" t="s">
        <v>79</v>
      </c>
      <c r="E24" s="269" t="e">
        <f t="shared" si="9"/>
        <v>#VALUE!</v>
      </c>
      <c r="F24" s="74" t="s">
        <v>80</v>
      </c>
      <c r="G24" s="272" t="e">
        <f t="shared" si="10"/>
        <v>#VALUE!</v>
      </c>
      <c r="H24" s="74" t="s">
        <v>80</v>
      </c>
      <c r="I24" s="269" t="e">
        <f t="shared" si="11"/>
        <v>#VALUE!</v>
      </c>
      <c r="J24" s="74" t="s">
        <v>81</v>
      </c>
      <c r="K24" s="158" t="e">
        <f t="shared" si="0"/>
        <v>#VALUE!</v>
      </c>
      <c r="L24" s="164">
        <v>7.88</v>
      </c>
      <c r="M24" s="73" t="s">
        <v>30</v>
      </c>
      <c r="N24" s="97">
        <v>1</v>
      </c>
      <c r="O24" s="73" t="s">
        <v>79</v>
      </c>
      <c r="P24" s="160">
        <f>IF(Istruzioni!$E$7&lt;&gt;"",CostoUnitMatPrima*Qtà,"")</f>
      </c>
      <c r="Q24" s="72" t="s">
        <v>57</v>
      </c>
      <c r="R24" s="272" t="e">
        <f>IF(Z24,P24*(-S24*Valori!$B$14/100+1)*(T24*Valori!$C$14/100+1)*(U24*Valori!$D$14/100+1)+K24,"ERRORE")</f>
        <v>#VALUE!</v>
      </c>
      <c r="S24" s="94">
        <v>1</v>
      </c>
      <c r="T24" s="98">
        <v>4</v>
      </c>
      <c r="U24" s="93">
        <v>5</v>
      </c>
      <c r="V24" s="160" t="e">
        <f>IF(Z24,R24*(1&amp;","&amp;Valori!$B$7),"ERRORE")</f>
        <v>#VALUE!</v>
      </c>
      <c r="W24" s="109">
        <f t="shared" si="13"/>
        <v>1</v>
      </c>
      <c r="X24" s="109">
        <f t="shared" si="13"/>
        <v>4</v>
      </c>
      <c r="Y24" s="109">
        <f t="shared" si="13"/>
        <v>5</v>
      </c>
      <c r="Z24" s="110" t="b">
        <f t="shared" si="12"/>
        <v>1</v>
      </c>
      <c r="AA24" s="153"/>
      <c r="AB24"/>
      <c r="AC24" s="284"/>
      <c r="AG24" s="2"/>
      <c r="AH24" s="2"/>
      <c r="AI24" s="2"/>
      <c r="CA24" s="7"/>
    </row>
    <row r="25" spans="1:79" ht="12.75">
      <c r="A25" s="97">
        <v>30</v>
      </c>
      <c r="B25" s="73" t="s">
        <v>30</v>
      </c>
      <c r="C25" s="162">
        <f t="shared" si="8"/>
      </c>
      <c r="D25" s="73" t="s">
        <v>79</v>
      </c>
      <c r="E25" s="269" t="e">
        <f t="shared" si="9"/>
        <v>#VALUE!</v>
      </c>
      <c r="F25" s="74" t="s">
        <v>80</v>
      </c>
      <c r="G25" s="272" t="e">
        <f t="shared" si="10"/>
        <v>#VALUE!</v>
      </c>
      <c r="H25" s="74" t="s">
        <v>80</v>
      </c>
      <c r="I25" s="269" t="e">
        <f t="shared" si="11"/>
        <v>#VALUE!</v>
      </c>
      <c r="J25" s="74" t="s">
        <v>81</v>
      </c>
      <c r="K25" s="158" t="e">
        <f t="shared" si="0"/>
        <v>#VALUE!</v>
      </c>
      <c r="L25" s="164">
        <v>14.38</v>
      </c>
      <c r="M25" s="73" t="s">
        <v>30</v>
      </c>
      <c r="N25" s="97">
        <v>1</v>
      </c>
      <c r="O25" s="73" t="s">
        <v>79</v>
      </c>
      <c r="P25" s="160">
        <f>IF(Istruzioni!$E$7&lt;&gt;"",CostoUnitMatPrima*Qtà,"")</f>
      </c>
      <c r="Q25" s="72" t="s">
        <v>58</v>
      </c>
      <c r="R25" s="272" t="e">
        <f>IF(Z25,P25*(-S25*Valori!$B$14/100+1)*(T25*Valori!$C$14/100+1)*(U25*Valori!$D$14/100+1)+K25,"ERRORE")</f>
        <v>#VALUE!</v>
      </c>
      <c r="S25" s="94">
        <v>1</v>
      </c>
      <c r="T25" s="98">
        <v>5</v>
      </c>
      <c r="U25" s="93">
        <v>5</v>
      </c>
      <c r="V25" s="160" t="e">
        <f>IF(Z25,R25*(1&amp;","&amp;Valori!$B$7),"ERRORE")</f>
        <v>#VALUE!</v>
      </c>
      <c r="W25" s="109">
        <f t="shared" si="13"/>
        <v>1</v>
      </c>
      <c r="X25" s="109">
        <f t="shared" si="13"/>
        <v>5</v>
      </c>
      <c r="Y25" s="109">
        <f t="shared" si="13"/>
        <v>5</v>
      </c>
      <c r="Z25" s="110" t="b">
        <f t="shared" si="12"/>
        <v>1</v>
      </c>
      <c r="AA25" s="153"/>
      <c r="AB25"/>
      <c r="AC25" s="284"/>
      <c r="AG25" s="2"/>
      <c r="AH25" s="2"/>
      <c r="AI25" s="2"/>
      <c r="CA25" s="7"/>
    </row>
    <row r="26" spans="1:79" ht="12.75">
      <c r="A26" s="97">
        <v>30</v>
      </c>
      <c r="B26" s="73" t="s">
        <v>30</v>
      </c>
      <c r="C26" s="162">
        <f t="shared" si="8"/>
      </c>
      <c r="D26" s="73" t="s">
        <v>79</v>
      </c>
      <c r="E26" s="269" t="e">
        <f t="shared" si="9"/>
        <v>#VALUE!</v>
      </c>
      <c r="F26" s="74" t="s">
        <v>80</v>
      </c>
      <c r="G26" s="272" t="e">
        <f t="shared" si="10"/>
        <v>#VALUE!</v>
      </c>
      <c r="H26" s="74" t="s">
        <v>80</v>
      </c>
      <c r="I26" s="269" t="e">
        <f t="shared" si="11"/>
        <v>#VALUE!</v>
      </c>
      <c r="J26" s="74" t="s">
        <v>81</v>
      </c>
      <c r="K26" s="158" t="e">
        <f t="shared" si="0"/>
        <v>#VALUE!</v>
      </c>
      <c r="L26" s="164">
        <v>0.46</v>
      </c>
      <c r="M26" s="73" t="s">
        <v>30</v>
      </c>
      <c r="N26" s="97">
        <v>12</v>
      </c>
      <c r="O26" s="73" t="s">
        <v>79</v>
      </c>
      <c r="P26" s="160">
        <f>IF(Istruzioni!$E$7&lt;&gt;"",CostoUnitMatPrima*Qtà,"")</f>
      </c>
      <c r="Q26" s="72" t="s">
        <v>59</v>
      </c>
      <c r="R26" s="272" t="e">
        <f>IF(Z26,P26*(-S26*Valori!$B$14/100+1)*(T26*Valori!$C$14/100+1)*(U26*Valori!$D$14/100+1)+K26,"ERRORE")</f>
        <v>#VALUE!</v>
      </c>
      <c r="S26" s="94">
        <v>3</v>
      </c>
      <c r="T26" s="98">
        <v>3</v>
      </c>
      <c r="U26" s="93">
        <v>4</v>
      </c>
      <c r="V26" s="160" t="e">
        <f>IF(Z26,R26*(1&amp;","&amp;Valori!$B$7),"ERRORE")</f>
        <v>#VALUE!</v>
      </c>
      <c r="W26" s="109">
        <f t="shared" si="13"/>
        <v>3</v>
      </c>
      <c r="X26" s="109">
        <f t="shared" si="13"/>
        <v>3</v>
      </c>
      <c r="Y26" s="109">
        <f t="shared" si="13"/>
        <v>4</v>
      </c>
      <c r="Z26" s="110" t="b">
        <f t="shared" si="12"/>
        <v>1</v>
      </c>
      <c r="AA26" s="153"/>
      <c r="AB26"/>
      <c r="AC26" s="284"/>
      <c r="AG26" s="2"/>
      <c r="AH26" s="2"/>
      <c r="AI26" s="2"/>
      <c r="CA26" s="7"/>
    </row>
    <row r="27" spans="1:79" ht="12.75">
      <c r="A27" s="97">
        <v>30</v>
      </c>
      <c r="B27" s="73" t="s">
        <v>30</v>
      </c>
      <c r="C27" s="162">
        <f t="shared" si="8"/>
      </c>
      <c r="D27" s="73" t="s">
        <v>79</v>
      </c>
      <c r="E27" s="269" t="e">
        <f t="shared" si="9"/>
        <v>#VALUE!</v>
      </c>
      <c r="F27" s="74" t="s">
        <v>80</v>
      </c>
      <c r="G27" s="272" t="e">
        <f t="shared" si="10"/>
        <v>#VALUE!</v>
      </c>
      <c r="H27" s="74" t="s">
        <v>80</v>
      </c>
      <c r="I27" s="269" t="e">
        <f t="shared" si="11"/>
        <v>#VALUE!</v>
      </c>
      <c r="J27" s="74" t="s">
        <v>81</v>
      </c>
      <c r="K27" s="158" t="e">
        <f t="shared" si="0"/>
        <v>#VALUE!</v>
      </c>
      <c r="L27" s="164">
        <v>0.55</v>
      </c>
      <c r="M27" s="73" t="s">
        <v>30</v>
      </c>
      <c r="N27" s="97">
        <v>12</v>
      </c>
      <c r="O27" s="73" t="s">
        <v>30</v>
      </c>
      <c r="P27" s="160">
        <f>IF(Istruzioni!$E$7&lt;&gt;"",CostoUnitMatPrima*Qtà,"")</f>
      </c>
      <c r="Q27" s="72" t="s">
        <v>60</v>
      </c>
      <c r="R27" s="272" t="e">
        <f>IF(Z27,P27*(-S27*Valori!$B$14/100+1)*(T27*Valori!$C$14/100+1)*(U27*Valori!$D$14/100+1)+K27,"ERRORE")</f>
        <v>#VALUE!</v>
      </c>
      <c r="S27" s="94">
        <v>3</v>
      </c>
      <c r="T27" s="98">
        <v>3</v>
      </c>
      <c r="U27" s="93">
        <v>4</v>
      </c>
      <c r="V27" s="160" t="e">
        <f>IF(Z27,R27*(1&amp;","&amp;Valori!$B$7),"ERRORE")</f>
        <v>#VALUE!</v>
      </c>
      <c r="W27" s="109">
        <f t="shared" si="13"/>
        <v>3</v>
      </c>
      <c r="X27" s="109">
        <f t="shared" si="13"/>
        <v>3</v>
      </c>
      <c r="Y27" s="109">
        <f t="shared" si="13"/>
        <v>4</v>
      </c>
      <c r="Z27" s="110" t="b">
        <f t="shared" si="12"/>
        <v>1</v>
      </c>
      <c r="AA27" s="153"/>
      <c r="AB27"/>
      <c r="AC27" s="284"/>
      <c r="AG27" s="2"/>
      <c r="AH27" s="2"/>
      <c r="AI27" s="2"/>
      <c r="CA27" s="7"/>
    </row>
    <row r="28" spans="1:79" ht="12.75">
      <c r="A28" s="97">
        <v>30</v>
      </c>
      <c r="B28" s="73" t="s">
        <v>30</v>
      </c>
      <c r="C28" s="162">
        <f t="shared" si="8"/>
      </c>
      <c r="D28" s="73" t="s">
        <v>79</v>
      </c>
      <c r="E28" s="269" t="e">
        <f t="shared" si="9"/>
        <v>#VALUE!</v>
      </c>
      <c r="F28" s="74" t="s">
        <v>80</v>
      </c>
      <c r="G28" s="272" t="e">
        <f t="shared" si="10"/>
        <v>#VALUE!</v>
      </c>
      <c r="H28" s="74" t="s">
        <v>80</v>
      </c>
      <c r="I28" s="269" t="e">
        <f t="shared" si="11"/>
        <v>#VALUE!</v>
      </c>
      <c r="J28" s="74" t="s">
        <v>81</v>
      </c>
      <c r="K28" s="158" t="e">
        <f t="shared" si="0"/>
        <v>#VALUE!</v>
      </c>
      <c r="L28" s="164">
        <v>0.55</v>
      </c>
      <c r="M28" s="73" t="s">
        <v>30</v>
      </c>
      <c r="N28" s="97">
        <v>24</v>
      </c>
      <c r="O28" s="73" t="s">
        <v>79</v>
      </c>
      <c r="P28" s="160">
        <f>IF(Istruzioni!$E$7&lt;&gt;"",CostoUnitMatPrima*Qtà,"")</f>
      </c>
      <c r="Q28" s="72" t="s">
        <v>61</v>
      </c>
      <c r="R28" s="272" t="e">
        <f>IF(Z28,P28*(-S28*Valori!$B$14/100+1)*(T28*Valori!$C$14/100+1)*(U28*Valori!$D$14/100+1)+K28,"ERRORE")</f>
        <v>#VALUE!</v>
      </c>
      <c r="S28" s="94">
        <v>2</v>
      </c>
      <c r="T28" s="98">
        <v>3</v>
      </c>
      <c r="U28" s="93">
        <v>4</v>
      </c>
      <c r="V28" s="160" t="e">
        <f>IF(Z28,R28*(1&amp;","&amp;Valori!$B$7),"ERRORE")</f>
        <v>#VALUE!</v>
      </c>
      <c r="W28" s="109">
        <f t="shared" si="13"/>
        <v>2</v>
      </c>
      <c r="X28" s="109">
        <f t="shared" si="13"/>
        <v>3</v>
      </c>
      <c r="Y28" s="109">
        <f t="shared" si="13"/>
        <v>4</v>
      </c>
      <c r="Z28" s="110" t="b">
        <f t="shared" si="12"/>
        <v>1</v>
      </c>
      <c r="AA28" s="153"/>
      <c r="AB28"/>
      <c r="AC28" s="284"/>
      <c r="AG28" s="2"/>
      <c r="AH28" s="2"/>
      <c r="AI28" s="2"/>
      <c r="CA28" s="7"/>
    </row>
    <row r="29" spans="1:79" ht="12.75">
      <c r="A29" s="97">
        <v>30</v>
      </c>
      <c r="B29" s="73" t="s">
        <v>30</v>
      </c>
      <c r="C29" s="162">
        <f t="shared" si="8"/>
      </c>
      <c r="D29" s="73" t="s">
        <v>79</v>
      </c>
      <c r="E29" s="269" t="e">
        <f t="shared" si="9"/>
        <v>#VALUE!</v>
      </c>
      <c r="F29" s="74" t="s">
        <v>80</v>
      </c>
      <c r="G29" s="272" t="e">
        <f t="shared" si="10"/>
        <v>#VALUE!</v>
      </c>
      <c r="H29" s="74" t="s">
        <v>80</v>
      </c>
      <c r="I29" s="269" t="e">
        <f t="shared" si="11"/>
        <v>#VALUE!</v>
      </c>
      <c r="J29" s="74" t="s">
        <v>81</v>
      </c>
      <c r="K29" s="158" t="e">
        <f t="shared" si="0"/>
        <v>#VALUE!</v>
      </c>
      <c r="L29" s="164">
        <v>3.33</v>
      </c>
      <c r="M29" s="73" t="s">
        <v>30</v>
      </c>
      <c r="N29" s="97">
        <v>2</v>
      </c>
      <c r="O29" s="73" t="s">
        <v>79</v>
      </c>
      <c r="P29" s="160">
        <f>IF(Istruzioni!$E$7&lt;&gt;"",CostoUnitMatPrima*Qtà,"")</f>
      </c>
      <c r="Q29" s="72" t="s">
        <v>62</v>
      </c>
      <c r="R29" s="272" t="e">
        <f>IF(Z29,P29*(-S29*Valori!$B$14/100+1)*(T29*Valori!$C$14/100+1)*(U29*Valori!$D$14/100+1)+K29,"ERRORE")</f>
        <v>#VALUE!</v>
      </c>
      <c r="S29" s="94">
        <v>1</v>
      </c>
      <c r="T29" s="98">
        <v>3</v>
      </c>
      <c r="U29" s="93">
        <v>5</v>
      </c>
      <c r="V29" s="160" t="e">
        <f>IF(Z29,R29*(1&amp;","&amp;Valori!$B$7),"ERRORE")</f>
        <v>#VALUE!</v>
      </c>
      <c r="W29" s="109">
        <f t="shared" si="13"/>
        <v>1</v>
      </c>
      <c r="X29" s="109">
        <f t="shared" si="13"/>
        <v>3</v>
      </c>
      <c r="Y29" s="109">
        <f t="shared" si="13"/>
        <v>5</v>
      </c>
      <c r="Z29" s="110" t="b">
        <f t="shared" si="12"/>
        <v>1</v>
      </c>
      <c r="AA29" s="153"/>
      <c r="AB29"/>
      <c r="AC29" s="284"/>
      <c r="AG29" s="2"/>
      <c r="AH29" s="2"/>
      <c r="AI29" s="2"/>
      <c r="CA29" s="7"/>
    </row>
    <row r="30" spans="1:79" ht="12.75">
      <c r="A30" s="97">
        <v>30</v>
      </c>
      <c r="B30" s="73" t="s">
        <v>30</v>
      </c>
      <c r="C30" s="162">
        <f t="shared" si="8"/>
      </c>
      <c r="D30" s="73" t="s">
        <v>79</v>
      </c>
      <c r="E30" s="269" t="e">
        <f t="shared" si="9"/>
        <v>#VALUE!</v>
      </c>
      <c r="F30" s="74" t="s">
        <v>80</v>
      </c>
      <c r="G30" s="272" t="e">
        <f t="shared" si="10"/>
        <v>#VALUE!</v>
      </c>
      <c r="H30" s="74" t="s">
        <v>80</v>
      </c>
      <c r="I30" s="269" t="e">
        <f t="shared" si="11"/>
        <v>#VALUE!</v>
      </c>
      <c r="J30" s="74" t="s">
        <v>81</v>
      </c>
      <c r="K30" s="158" t="e">
        <f t="shared" si="0"/>
        <v>#VALUE!</v>
      </c>
      <c r="L30" s="164">
        <v>5.91</v>
      </c>
      <c r="M30" s="73" t="s">
        <v>30</v>
      </c>
      <c r="N30" s="97">
        <v>2</v>
      </c>
      <c r="O30" s="73" t="s">
        <v>79</v>
      </c>
      <c r="P30" s="160">
        <f>IF(Istruzioni!$E$7&lt;&gt;"",CostoUnitMatPrima*Qtà,"")</f>
      </c>
      <c r="Q30" s="72" t="s">
        <v>63</v>
      </c>
      <c r="R30" s="272" t="e">
        <f>IF(Z30,P30*(-S30*Valori!$B$14/100+1)*(T30*Valori!$C$14/100+1)*(U30*Valori!$D$14/100+1)+K30,"ERRORE")</f>
        <v>#VALUE!</v>
      </c>
      <c r="S30" s="94">
        <v>1</v>
      </c>
      <c r="T30" s="98">
        <v>4</v>
      </c>
      <c r="U30" s="93">
        <v>5</v>
      </c>
      <c r="V30" s="160" t="e">
        <f>IF(Z30,R30*(1&amp;","&amp;Valori!$B$7),"ERRORE")</f>
        <v>#VALUE!</v>
      </c>
      <c r="W30" s="109">
        <f t="shared" si="13"/>
        <v>1</v>
      </c>
      <c r="X30" s="109">
        <f t="shared" si="13"/>
        <v>4</v>
      </c>
      <c r="Y30" s="109">
        <f t="shared" si="13"/>
        <v>5</v>
      </c>
      <c r="Z30" s="110" t="b">
        <f t="shared" si="12"/>
        <v>1</v>
      </c>
      <c r="AA30" s="153"/>
      <c r="AB30"/>
      <c r="AC30" s="284"/>
      <c r="AG30" s="2"/>
      <c r="AH30" s="2"/>
      <c r="AI30" s="2"/>
      <c r="CA30" s="7"/>
    </row>
    <row r="31" spans="1:79" ht="12.75">
      <c r="A31" s="75">
        <v>30</v>
      </c>
      <c r="B31" s="73" t="s">
        <v>30</v>
      </c>
      <c r="C31" s="162">
        <f t="shared" si="8"/>
      </c>
      <c r="D31" s="73" t="s">
        <v>79</v>
      </c>
      <c r="E31" s="269" t="e">
        <f t="shared" si="9"/>
        <v>#VALUE!</v>
      </c>
      <c r="F31" s="74" t="s">
        <v>80</v>
      </c>
      <c r="G31" s="272" t="e">
        <f t="shared" si="10"/>
        <v>#VALUE!</v>
      </c>
      <c r="H31" s="74" t="s">
        <v>80</v>
      </c>
      <c r="I31" s="269" t="e">
        <f t="shared" si="11"/>
        <v>#VALUE!</v>
      </c>
      <c r="J31" s="74" t="s">
        <v>81</v>
      </c>
      <c r="K31" s="158" t="e">
        <f t="shared" si="0"/>
        <v>#VALUE!</v>
      </c>
      <c r="L31" s="165">
        <v>12.94</v>
      </c>
      <c r="M31" s="73" t="s">
        <v>30</v>
      </c>
      <c r="N31" s="97">
        <v>2</v>
      </c>
      <c r="O31" s="73" t="s">
        <v>79</v>
      </c>
      <c r="P31" s="160">
        <f>IF(Istruzioni!$E$7&lt;&gt;"",CostoUnitMatPrima*Qtà,"")</f>
      </c>
      <c r="Q31" s="72" t="s">
        <v>64</v>
      </c>
      <c r="R31" s="272" t="e">
        <f>IF(Z31,P31*(-S31*Valori!$B$14/100+1)*(T31*Valori!$C$14/100+1)*(U31*Valori!$D$14/100+1)+K31,"ERRORE")</f>
        <v>#VALUE!</v>
      </c>
      <c r="S31" s="94">
        <v>1</v>
      </c>
      <c r="T31" s="98">
        <v>5</v>
      </c>
      <c r="U31" s="93">
        <v>5</v>
      </c>
      <c r="V31" s="160" t="e">
        <f>IF(Z31,R31*(1&amp;","&amp;Valori!$B$7),"ERRORE")</f>
        <v>#VALUE!</v>
      </c>
      <c r="W31" s="109">
        <f t="shared" si="13"/>
        <v>1</v>
      </c>
      <c r="X31" s="109">
        <f t="shared" si="13"/>
        <v>5</v>
      </c>
      <c r="Y31" s="109">
        <f t="shared" si="13"/>
        <v>5</v>
      </c>
      <c r="Z31" s="110" t="b">
        <f t="shared" si="12"/>
        <v>1</v>
      </c>
      <c r="AA31" s="153"/>
      <c r="AB31"/>
      <c r="AC31" s="284"/>
      <c r="AG31" s="2"/>
      <c r="AH31" s="2"/>
      <c r="AI31" s="2"/>
      <c r="CA31" s="7"/>
    </row>
    <row r="32" spans="1:79" ht="12.75">
      <c r="A32" s="117"/>
      <c r="B32" s="30"/>
      <c r="C32" s="36"/>
      <c r="D32" s="30"/>
      <c r="E32" s="271"/>
      <c r="F32" s="35"/>
      <c r="G32" s="271"/>
      <c r="H32" s="35"/>
      <c r="I32" s="271"/>
      <c r="J32" s="35"/>
      <c r="K32" s="11"/>
      <c r="L32" s="20"/>
      <c r="M32" s="30"/>
      <c r="N32" s="21"/>
      <c r="O32" s="30"/>
      <c r="P32" s="11"/>
      <c r="Q32" s="17" t="s">
        <v>65</v>
      </c>
      <c r="R32" s="271"/>
      <c r="S32" s="22"/>
      <c r="T32" s="22"/>
      <c r="U32" s="22"/>
      <c r="V32" s="150">
        <f>IF(Istruzioni!$E$7&lt;&gt;"",Istruzioni!$G$12,"")</f>
      </c>
      <c r="W32" s="109"/>
      <c r="X32" s="109"/>
      <c r="Y32" s="109"/>
      <c r="Z32" s="109"/>
      <c r="AA32" s="150"/>
      <c r="AB32"/>
      <c r="AC32" s="284"/>
      <c r="AG32" s="2"/>
      <c r="AH32" s="2"/>
      <c r="AI32" s="2"/>
      <c r="CA32" s="11"/>
    </row>
    <row r="33" spans="1:79" ht="12.75">
      <c r="A33" s="97">
        <v>5</v>
      </c>
      <c r="B33" s="73" t="s">
        <v>30</v>
      </c>
      <c r="C33" s="162">
        <f aca="true" t="shared" si="14" ref="C33:C42">CostoMinuto</f>
      </c>
      <c r="D33" s="73" t="s">
        <v>79</v>
      </c>
      <c r="E33" s="269" t="e">
        <f aca="true" t="shared" si="15" ref="E33:E42">MinutiLavoro*CostoMinuto</f>
        <v>#VALUE!</v>
      </c>
      <c r="F33" s="74" t="s">
        <v>80</v>
      </c>
      <c r="G33" s="272" t="e">
        <f aca="true" t="shared" si="16" ref="G33:G42">Costi_Variabili/Min_Lavoro_Anno*A33</f>
        <v>#VALUE!</v>
      </c>
      <c r="H33" s="74" t="s">
        <v>80</v>
      </c>
      <c r="I33" s="269" t="e">
        <f aca="true" t="shared" si="17" ref="I33:I42">Costi_Fissi/Min_Lavoro_Anno*A33</f>
        <v>#VALUE!</v>
      </c>
      <c r="J33" s="74" t="s">
        <v>81</v>
      </c>
      <c r="K33" s="158" t="e">
        <f t="shared" si="0"/>
        <v>#VALUE!</v>
      </c>
      <c r="L33" s="164">
        <v>1.02</v>
      </c>
      <c r="M33" s="73" t="s">
        <v>30</v>
      </c>
      <c r="N33" s="97">
        <v>1</v>
      </c>
      <c r="O33" s="73" t="s">
        <v>79</v>
      </c>
      <c r="P33" s="160">
        <f>IF(Istruzioni!$E$7&lt;&gt;"",CostoUnitMatPrima*Qtà,"")</f>
      </c>
      <c r="Q33" s="72" t="s">
        <v>66</v>
      </c>
      <c r="R33" s="272" t="e">
        <f>IF(Z33,P33*(-S33*Valori!$B$14/100+1)*(T33*Valori!$C$14/100+1)*(U33*Valori!$D$14/100+1)+K33,"ERRORE")</f>
        <v>#VALUE!</v>
      </c>
      <c r="S33" s="94">
        <v>1</v>
      </c>
      <c r="T33" s="98">
        <v>3</v>
      </c>
      <c r="U33" s="93">
        <v>3</v>
      </c>
      <c r="V33" s="160" t="e">
        <f>IF(Z33,R33*(1&amp;","&amp;Valori!$B$7),"ERRORE")</f>
        <v>#VALUE!</v>
      </c>
      <c r="W33" s="109">
        <f t="shared" si="13"/>
        <v>1</v>
      </c>
      <c r="X33" s="109">
        <f t="shared" si="13"/>
        <v>3</v>
      </c>
      <c r="Y33" s="109">
        <f t="shared" si="13"/>
        <v>3</v>
      </c>
      <c r="Z33" s="110" t="b">
        <f aca="true" t="shared" si="18" ref="Z33:Z42">ISNUMBER(W33+X33+Y33)</f>
        <v>1</v>
      </c>
      <c r="AA33" s="152"/>
      <c r="AB33"/>
      <c r="AC33" s="284"/>
      <c r="AG33" s="2"/>
      <c r="AH33" s="2"/>
      <c r="AI33" s="2"/>
      <c r="CA33" s="7"/>
    </row>
    <row r="34" spans="1:79" ht="12.75">
      <c r="A34" s="97">
        <v>5</v>
      </c>
      <c r="B34" s="73" t="s">
        <v>30</v>
      </c>
      <c r="C34" s="162">
        <f t="shared" si="14"/>
      </c>
      <c r="D34" s="73" t="s">
        <v>79</v>
      </c>
      <c r="E34" s="269" t="e">
        <f t="shared" si="15"/>
        <v>#VALUE!</v>
      </c>
      <c r="F34" s="74" t="s">
        <v>80</v>
      </c>
      <c r="G34" s="272" t="e">
        <f t="shared" si="16"/>
        <v>#VALUE!</v>
      </c>
      <c r="H34" s="74" t="s">
        <v>80</v>
      </c>
      <c r="I34" s="269" t="e">
        <f t="shared" si="17"/>
        <v>#VALUE!</v>
      </c>
      <c r="J34" s="74" t="s">
        <v>81</v>
      </c>
      <c r="K34" s="158" t="e">
        <f t="shared" si="0"/>
        <v>#VALUE!</v>
      </c>
      <c r="L34" s="164">
        <v>2.04</v>
      </c>
      <c r="M34" s="73" t="s">
        <v>30</v>
      </c>
      <c r="N34" s="97">
        <v>1</v>
      </c>
      <c r="O34" s="73" t="s">
        <v>79</v>
      </c>
      <c r="P34" s="160">
        <f>IF(Istruzioni!$E$7&lt;&gt;"",CostoUnitMatPrima*Qtà,"")</f>
      </c>
      <c r="Q34" s="72" t="s">
        <v>67</v>
      </c>
      <c r="R34" s="272" t="e">
        <f>IF(Z34,P34*(-S34*Valori!$B$14/100+1)*(T34*Valori!$C$14/100+1)*(U34*Valori!$D$14/100+1)+K34,"ERRORE")</f>
        <v>#VALUE!</v>
      </c>
      <c r="S34" s="94">
        <v>1</v>
      </c>
      <c r="T34" s="98">
        <v>3</v>
      </c>
      <c r="U34" s="93">
        <v>3</v>
      </c>
      <c r="V34" s="160" t="e">
        <f>IF(Z34,R34*(1&amp;","&amp;Valori!$B$7),"ERRORE")</f>
        <v>#VALUE!</v>
      </c>
      <c r="W34" s="109">
        <f t="shared" si="13"/>
        <v>1</v>
      </c>
      <c r="X34" s="109">
        <f t="shared" si="13"/>
        <v>3</v>
      </c>
      <c r="Y34" s="109">
        <f t="shared" si="13"/>
        <v>3</v>
      </c>
      <c r="Z34" s="110" t="b">
        <f t="shared" si="18"/>
        <v>1</v>
      </c>
      <c r="AA34" s="153"/>
      <c r="AB34"/>
      <c r="AC34" s="284"/>
      <c r="AG34" s="2"/>
      <c r="AH34" s="2"/>
      <c r="AI34" s="2"/>
      <c r="CA34" s="7"/>
    </row>
    <row r="35" spans="1:79" ht="12.75">
      <c r="A35" s="97">
        <v>5</v>
      </c>
      <c r="B35" s="73" t="s">
        <v>30</v>
      </c>
      <c r="C35" s="162">
        <f t="shared" si="14"/>
      </c>
      <c r="D35" s="73" t="s">
        <v>79</v>
      </c>
      <c r="E35" s="269" t="e">
        <f t="shared" si="15"/>
        <v>#VALUE!</v>
      </c>
      <c r="F35" s="74" t="s">
        <v>80</v>
      </c>
      <c r="G35" s="272" t="e">
        <f t="shared" si="16"/>
        <v>#VALUE!</v>
      </c>
      <c r="H35" s="74" t="s">
        <v>80</v>
      </c>
      <c r="I35" s="269" t="e">
        <f t="shared" si="17"/>
        <v>#VALUE!</v>
      </c>
      <c r="J35" s="74" t="s">
        <v>81</v>
      </c>
      <c r="K35" s="158" t="e">
        <f t="shared" si="0"/>
        <v>#VALUE!</v>
      </c>
      <c r="L35" s="164">
        <v>5.13</v>
      </c>
      <c r="M35" s="73" t="s">
        <v>30</v>
      </c>
      <c r="N35" s="97">
        <v>1</v>
      </c>
      <c r="O35" s="73" t="s">
        <v>79</v>
      </c>
      <c r="P35" s="160">
        <f>IF(Istruzioni!$E$7&lt;&gt;"",CostoUnitMatPrima*Qtà,"")</f>
      </c>
      <c r="Q35" s="72" t="s">
        <v>68</v>
      </c>
      <c r="R35" s="272" t="e">
        <f>IF(Z35,P35*(-S35*Valori!$B$14/100+1)*(T35*Valori!$C$14/100+1)*(U35*Valori!$D$14/100+1)+K35,"ERRORE")</f>
        <v>#VALUE!</v>
      </c>
      <c r="S35" s="94">
        <v>1</v>
      </c>
      <c r="T35" s="98">
        <v>3</v>
      </c>
      <c r="U35" s="93">
        <v>3</v>
      </c>
      <c r="V35" s="160" t="e">
        <f>IF(Z35,R35*(1&amp;","&amp;Valori!$B$7),"ERRORE")</f>
        <v>#VALUE!</v>
      </c>
      <c r="W35" s="109">
        <f t="shared" si="13"/>
        <v>1</v>
      </c>
      <c r="X35" s="109">
        <f t="shared" si="13"/>
        <v>3</v>
      </c>
      <c r="Y35" s="109">
        <f t="shared" si="13"/>
        <v>3</v>
      </c>
      <c r="Z35" s="110" t="b">
        <f t="shared" si="18"/>
        <v>1</v>
      </c>
      <c r="AA35" s="153"/>
      <c r="AB35"/>
      <c r="AC35" s="284"/>
      <c r="AG35" s="2"/>
      <c r="AH35" s="2"/>
      <c r="AI35" s="2"/>
      <c r="CA35" s="7"/>
    </row>
    <row r="36" spans="1:79" ht="12.75">
      <c r="A36" s="97">
        <v>5</v>
      </c>
      <c r="B36" s="73" t="s">
        <v>30</v>
      </c>
      <c r="C36" s="162">
        <f t="shared" si="14"/>
      </c>
      <c r="D36" s="73" t="s">
        <v>79</v>
      </c>
      <c r="E36" s="269" t="e">
        <f t="shared" si="15"/>
        <v>#VALUE!</v>
      </c>
      <c r="F36" s="74" t="s">
        <v>80</v>
      </c>
      <c r="G36" s="272" t="e">
        <f t="shared" si="16"/>
        <v>#VALUE!</v>
      </c>
      <c r="H36" s="74" t="s">
        <v>80</v>
      </c>
      <c r="I36" s="269" t="e">
        <f t="shared" si="17"/>
        <v>#VALUE!</v>
      </c>
      <c r="J36" s="74" t="s">
        <v>81</v>
      </c>
      <c r="K36" s="158" t="e">
        <f t="shared" si="0"/>
        <v>#VALUE!</v>
      </c>
      <c r="L36" s="164">
        <v>16.18</v>
      </c>
      <c r="M36" s="73" t="s">
        <v>30</v>
      </c>
      <c r="N36" s="97">
        <v>1</v>
      </c>
      <c r="O36" s="73" t="s">
        <v>79</v>
      </c>
      <c r="P36" s="160">
        <f>IF(Istruzioni!$E$7&lt;&gt;"",CostoUnitMatPrima*Qtà,"")</f>
      </c>
      <c r="Q36" s="72" t="s">
        <v>69</v>
      </c>
      <c r="R36" s="272" t="e">
        <f>IF(Z36,P36*(-S36*Valori!$B$14/100+1)*(T36*Valori!$C$14/100+1)*(U36*Valori!$D$14/100+1)+K36,"ERRORE")</f>
        <v>#VALUE!</v>
      </c>
      <c r="S36" s="94">
        <v>1</v>
      </c>
      <c r="T36" s="98">
        <v>3</v>
      </c>
      <c r="U36" s="93">
        <v>3</v>
      </c>
      <c r="V36" s="160" t="e">
        <f>IF(Z36,R36*(1&amp;","&amp;Valori!$B$7),"ERRORE")</f>
        <v>#VALUE!</v>
      </c>
      <c r="W36" s="109">
        <f t="shared" si="13"/>
        <v>1</v>
      </c>
      <c r="X36" s="109">
        <f t="shared" si="13"/>
        <v>3</v>
      </c>
      <c r="Y36" s="109">
        <f t="shared" si="13"/>
        <v>3</v>
      </c>
      <c r="Z36" s="110" t="b">
        <f t="shared" si="18"/>
        <v>1</v>
      </c>
      <c r="AA36" s="153"/>
      <c r="AB36"/>
      <c r="AC36" s="284"/>
      <c r="AG36" s="2"/>
      <c r="AH36" s="2"/>
      <c r="AI36" s="2"/>
      <c r="CA36" s="7"/>
    </row>
    <row r="37" spans="1:79" ht="12.75">
      <c r="A37" s="97">
        <v>5</v>
      </c>
      <c r="B37" s="73" t="s">
        <v>30</v>
      </c>
      <c r="C37" s="162">
        <f t="shared" si="14"/>
      </c>
      <c r="D37" s="73" t="s">
        <v>79</v>
      </c>
      <c r="E37" s="269" t="e">
        <f t="shared" si="15"/>
        <v>#VALUE!</v>
      </c>
      <c r="F37" s="74" t="s">
        <v>80</v>
      </c>
      <c r="G37" s="272" t="e">
        <f t="shared" si="16"/>
        <v>#VALUE!</v>
      </c>
      <c r="H37" s="74" t="s">
        <v>80</v>
      </c>
      <c r="I37" s="269" t="e">
        <f t="shared" si="17"/>
        <v>#VALUE!</v>
      </c>
      <c r="J37" s="74" t="s">
        <v>81</v>
      </c>
      <c r="K37" s="158" t="e">
        <f t="shared" si="0"/>
        <v>#VALUE!</v>
      </c>
      <c r="L37" s="164">
        <v>22.3</v>
      </c>
      <c r="M37" s="73" t="s">
        <v>30</v>
      </c>
      <c r="N37" s="97">
        <v>1</v>
      </c>
      <c r="O37" s="73" t="s">
        <v>79</v>
      </c>
      <c r="P37" s="160">
        <f>IF(Istruzioni!$E$7&lt;&gt;"",CostoUnitMatPrima*Qtà,"")</f>
      </c>
      <c r="Q37" s="72" t="s">
        <v>70</v>
      </c>
      <c r="R37" s="272" t="e">
        <f>IF(Z37,P37*(-S37*Valori!$B$14/100+1)*(T37*Valori!$C$14/100+1)*(U37*Valori!$D$14/100+1)+K37,"ERRORE")</f>
        <v>#VALUE!</v>
      </c>
      <c r="S37" s="94">
        <v>1</v>
      </c>
      <c r="T37" s="98">
        <v>3</v>
      </c>
      <c r="U37" s="93">
        <v>3</v>
      </c>
      <c r="V37" s="160" t="e">
        <f>IF(Z37,R37*(1&amp;","&amp;Valori!$B$7),"ERRORE")</f>
        <v>#VALUE!</v>
      </c>
      <c r="W37" s="109">
        <f t="shared" si="13"/>
        <v>1</v>
      </c>
      <c r="X37" s="109">
        <f t="shared" si="13"/>
        <v>3</v>
      </c>
      <c r="Y37" s="109">
        <f t="shared" si="13"/>
        <v>3</v>
      </c>
      <c r="Z37" s="110" t="b">
        <f t="shared" si="18"/>
        <v>1</v>
      </c>
      <c r="AA37" s="153"/>
      <c r="AB37"/>
      <c r="AC37" s="284"/>
      <c r="AG37" s="2"/>
      <c r="AH37" s="2"/>
      <c r="AI37" s="2"/>
      <c r="CA37" s="7"/>
    </row>
    <row r="38" spans="1:79" ht="12.75">
      <c r="A38" s="97">
        <v>5</v>
      </c>
      <c r="B38" s="73" t="s">
        <v>30</v>
      </c>
      <c r="C38" s="162">
        <f t="shared" si="14"/>
      </c>
      <c r="D38" s="73" t="s">
        <v>79</v>
      </c>
      <c r="E38" s="269" t="e">
        <f t="shared" si="15"/>
        <v>#VALUE!</v>
      </c>
      <c r="F38" s="74" t="s">
        <v>80</v>
      </c>
      <c r="G38" s="272" t="e">
        <f t="shared" si="16"/>
        <v>#VALUE!</v>
      </c>
      <c r="H38" s="74" t="s">
        <v>80</v>
      </c>
      <c r="I38" s="269" t="e">
        <f t="shared" si="17"/>
        <v>#VALUE!</v>
      </c>
      <c r="J38" s="74" t="s">
        <v>81</v>
      </c>
      <c r="K38" s="158" t="e">
        <f t="shared" si="0"/>
        <v>#VALUE!</v>
      </c>
      <c r="L38" s="164">
        <v>1.08</v>
      </c>
      <c r="M38" s="73" t="s">
        <v>30</v>
      </c>
      <c r="N38" s="97">
        <v>1</v>
      </c>
      <c r="O38" s="73" t="s">
        <v>79</v>
      </c>
      <c r="P38" s="160">
        <f>IF(Istruzioni!$E$7&lt;&gt;"",CostoUnitMatPrima*Qtà,"")</f>
      </c>
      <c r="Q38" s="72" t="s">
        <v>71</v>
      </c>
      <c r="R38" s="272" t="e">
        <f>IF(Z38,P38*(-S38*Valori!$B$14/100+1)*(T38*Valori!$C$14/100+1)*(U38*Valori!$D$14/100+1)+K38,"ERRORE")</f>
        <v>#VALUE!</v>
      </c>
      <c r="S38" s="94">
        <v>2</v>
      </c>
      <c r="T38" s="98">
        <v>3</v>
      </c>
      <c r="U38" s="93">
        <v>3</v>
      </c>
      <c r="V38" s="160" t="e">
        <f>IF(Z38,R38*(1&amp;","&amp;Valori!$B$7),"ERRORE")</f>
        <v>#VALUE!</v>
      </c>
      <c r="W38" s="109">
        <f t="shared" si="13"/>
        <v>2</v>
      </c>
      <c r="X38" s="109">
        <f t="shared" si="13"/>
        <v>3</v>
      </c>
      <c r="Y38" s="109">
        <f t="shared" si="13"/>
        <v>3</v>
      </c>
      <c r="Z38" s="110" t="b">
        <f t="shared" si="18"/>
        <v>1</v>
      </c>
      <c r="AA38" s="153"/>
      <c r="AB38"/>
      <c r="AC38" s="284"/>
      <c r="AG38" s="2"/>
      <c r="AH38" s="2"/>
      <c r="AI38" s="2"/>
      <c r="CA38" s="7"/>
    </row>
    <row r="39" spans="1:79" ht="12.75">
      <c r="A39" s="97">
        <v>5</v>
      </c>
      <c r="B39" s="73" t="s">
        <v>30</v>
      </c>
      <c r="C39" s="162">
        <f t="shared" si="14"/>
      </c>
      <c r="D39" s="73" t="s">
        <v>79</v>
      </c>
      <c r="E39" s="269" t="e">
        <f t="shared" si="15"/>
        <v>#VALUE!</v>
      </c>
      <c r="F39" s="74" t="s">
        <v>80</v>
      </c>
      <c r="G39" s="272" t="e">
        <f t="shared" si="16"/>
        <v>#VALUE!</v>
      </c>
      <c r="H39" s="74" t="s">
        <v>80</v>
      </c>
      <c r="I39" s="269" t="e">
        <f t="shared" si="17"/>
        <v>#VALUE!</v>
      </c>
      <c r="J39" s="74" t="s">
        <v>81</v>
      </c>
      <c r="K39" s="158" t="e">
        <f t="shared" si="0"/>
        <v>#VALUE!</v>
      </c>
      <c r="L39" s="164">
        <v>2.04</v>
      </c>
      <c r="M39" s="73" t="s">
        <v>30</v>
      </c>
      <c r="N39" s="97">
        <v>1</v>
      </c>
      <c r="O39" s="73" t="s">
        <v>79</v>
      </c>
      <c r="P39" s="160">
        <f>IF(Istruzioni!$E$7&lt;&gt;"",CostoUnitMatPrima*Qtà,"")</f>
      </c>
      <c r="Q39" s="72" t="s">
        <v>72</v>
      </c>
      <c r="R39" s="272" t="e">
        <f>IF(Z39,P39*(-S39*Valori!$B$14/100+1)*(T39*Valori!$C$14/100+1)*(U39*Valori!$D$14/100+1)+K39,"ERRORE")</f>
        <v>#VALUE!</v>
      </c>
      <c r="S39" s="94">
        <v>2</v>
      </c>
      <c r="T39" s="98">
        <v>3</v>
      </c>
      <c r="U39" s="93">
        <v>3</v>
      </c>
      <c r="V39" s="160" t="e">
        <f>IF(Z39,R39*(1&amp;","&amp;Valori!$B$7),"ERRORE")</f>
        <v>#VALUE!</v>
      </c>
      <c r="W39" s="109">
        <f aca="true" t="shared" si="19" ref="W39:Y53">IF(S39&lt;=0,"errore",IF(S39&gt;5,"errore",S39))</f>
        <v>2</v>
      </c>
      <c r="X39" s="109">
        <f t="shared" si="19"/>
        <v>3</v>
      </c>
      <c r="Y39" s="109">
        <f t="shared" si="19"/>
        <v>3</v>
      </c>
      <c r="Z39" s="110" t="b">
        <f t="shared" si="18"/>
        <v>1</v>
      </c>
      <c r="AA39" s="153"/>
      <c r="AB39"/>
      <c r="AC39" s="284"/>
      <c r="AG39" s="2"/>
      <c r="AH39" s="2"/>
      <c r="AI39" s="2"/>
      <c r="CA39" s="7"/>
    </row>
    <row r="40" spans="1:79" ht="12.75">
      <c r="A40" s="97">
        <v>5</v>
      </c>
      <c r="B40" s="73" t="s">
        <v>30</v>
      </c>
      <c r="C40" s="162">
        <f t="shared" si="14"/>
      </c>
      <c r="D40" s="73" t="s">
        <v>79</v>
      </c>
      <c r="E40" s="269" t="e">
        <f t="shared" si="15"/>
        <v>#VALUE!</v>
      </c>
      <c r="F40" s="74" t="s">
        <v>80</v>
      </c>
      <c r="G40" s="272" t="e">
        <f t="shared" si="16"/>
        <v>#VALUE!</v>
      </c>
      <c r="H40" s="74" t="s">
        <v>80</v>
      </c>
      <c r="I40" s="269" t="e">
        <f t="shared" si="17"/>
        <v>#VALUE!</v>
      </c>
      <c r="J40" s="74" t="s">
        <v>81</v>
      </c>
      <c r="K40" s="158" t="e">
        <f t="shared" si="0"/>
        <v>#VALUE!</v>
      </c>
      <c r="L40" s="164">
        <v>5.03</v>
      </c>
      <c r="M40" s="73" t="s">
        <v>30</v>
      </c>
      <c r="N40" s="97">
        <v>1</v>
      </c>
      <c r="O40" s="73" t="s">
        <v>79</v>
      </c>
      <c r="P40" s="160">
        <f>IF(Istruzioni!$E$7&lt;&gt;"",CostoUnitMatPrima*Qtà,"")</f>
      </c>
      <c r="Q40" s="72" t="s">
        <v>117</v>
      </c>
      <c r="R40" s="272" t="e">
        <f>IF(Z40,P40*(-S40*Valori!$B$14/100+1)*(T40*Valori!$C$14/100+1)*(U40*Valori!$D$14/100+1)+K40,"ERRORE")</f>
        <v>#VALUE!</v>
      </c>
      <c r="S40" s="94">
        <v>2</v>
      </c>
      <c r="T40" s="98">
        <v>3</v>
      </c>
      <c r="U40" s="93">
        <v>3</v>
      </c>
      <c r="V40" s="160" t="e">
        <f>IF(Z40,R40*(1&amp;","&amp;Valori!$B$7),"ERRORE")</f>
        <v>#VALUE!</v>
      </c>
      <c r="W40" s="109">
        <f t="shared" si="19"/>
        <v>2</v>
      </c>
      <c r="X40" s="109">
        <f t="shared" si="19"/>
        <v>3</v>
      </c>
      <c r="Y40" s="109">
        <f t="shared" si="19"/>
        <v>3</v>
      </c>
      <c r="Z40" s="110" t="b">
        <f t="shared" si="18"/>
        <v>1</v>
      </c>
      <c r="AA40" s="153"/>
      <c r="AB40"/>
      <c r="AC40" s="284"/>
      <c r="AG40" s="2"/>
      <c r="AH40" s="2"/>
      <c r="AI40" s="2"/>
      <c r="CA40" s="7"/>
    </row>
    <row r="41" spans="1:79" ht="12.75">
      <c r="A41" s="97">
        <v>5</v>
      </c>
      <c r="B41" s="73" t="s">
        <v>30</v>
      </c>
      <c r="C41" s="162">
        <f t="shared" si="14"/>
      </c>
      <c r="D41" s="73" t="s">
        <v>79</v>
      </c>
      <c r="E41" s="269" t="e">
        <f t="shared" si="15"/>
        <v>#VALUE!</v>
      </c>
      <c r="F41" s="74" t="s">
        <v>80</v>
      </c>
      <c r="G41" s="272" t="e">
        <f t="shared" si="16"/>
        <v>#VALUE!</v>
      </c>
      <c r="H41" s="74" t="s">
        <v>80</v>
      </c>
      <c r="I41" s="269" t="e">
        <f t="shared" si="17"/>
        <v>#VALUE!</v>
      </c>
      <c r="J41" s="74" t="s">
        <v>81</v>
      </c>
      <c r="K41" s="158" t="e">
        <f t="shared" si="0"/>
        <v>#VALUE!</v>
      </c>
      <c r="L41" s="164">
        <v>9.64</v>
      </c>
      <c r="M41" s="73" t="s">
        <v>30</v>
      </c>
      <c r="N41" s="97">
        <v>1</v>
      </c>
      <c r="O41" s="73" t="s">
        <v>79</v>
      </c>
      <c r="P41" s="160">
        <f>IF(Istruzioni!$E$7&lt;&gt;"",CostoUnitMatPrima*Qtà,"")</f>
      </c>
      <c r="Q41" s="72" t="s">
        <v>118</v>
      </c>
      <c r="R41" s="272" t="e">
        <f>IF(Z41,P41*(-S41*Valori!$B$14/100+1)*(T41*Valori!$C$14/100+1)*(U41*Valori!$D$14/100+1)+K41,"ERRORE")</f>
        <v>#VALUE!</v>
      </c>
      <c r="S41" s="94">
        <v>2</v>
      </c>
      <c r="T41" s="98">
        <v>3</v>
      </c>
      <c r="U41" s="93">
        <v>3</v>
      </c>
      <c r="V41" s="160" t="e">
        <f>IF(Z41,R41*(1&amp;","&amp;Valori!$B$7),"ERRORE")</f>
        <v>#VALUE!</v>
      </c>
      <c r="W41" s="109">
        <f t="shared" si="19"/>
        <v>2</v>
      </c>
      <c r="X41" s="109">
        <f t="shared" si="19"/>
        <v>3</v>
      </c>
      <c r="Y41" s="109">
        <f t="shared" si="19"/>
        <v>3</v>
      </c>
      <c r="Z41" s="110" t="b">
        <f t="shared" si="18"/>
        <v>1</v>
      </c>
      <c r="AA41" s="153"/>
      <c r="AB41"/>
      <c r="AC41" s="284"/>
      <c r="AG41" s="2"/>
      <c r="AH41" s="2"/>
      <c r="AI41" s="2"/>
      <c r="CA41" s="7"/>
    </row>
    <row r="42" spans="1:79" ht="12.75">
      <c r="A42" s="97">
        <v>5</v>
      </c>
      <c r="B42" s="73" t="s">
        <v>30</v>
      </c>
      <c r="C42" s="162">
        <f t="shared" si="14"/>
      </c>
      <c r="D42" s="73" t="s">
        <v>79</v>
      </c>
      <c r="E42" s="269" t="e">
        <f t="shared" si="15"/>
        <v>#VALUE!</v>
      </c>
      <c r="F42" s="74" t="s">
        <v>80</v>
      </c>
      <c r="G42" s="272" t="e">
        <f t="shared" si="16"/>
        <v>#VALUE!</v>
      </c>
      <c r="H42" s="74" t="s">
        <v>80</v>
      </c>
      <c r="I42" s="269" t="e">
        <f t="shared" si="17"/>
        <v>#VALUE!</v>
      </c>
      <c r="J42" s="74" t="s">
        <v>81</v>
      </c>
      <c r="K42" s="158" t="e">
        <f t="shared" si="0"/>
        <v>#VALUE!</v>
      </c>
      <c r="L42" s="164">
        <v>13.79</v>
      </c>
      <c r="M42" s="73" t="s">
        <v>30</v>
      </c>
      <c r="N42" s="97">
        <v>1</v>
      </c>
      <c r="O42" s="73" t="s">
        <v>79</v>
      </c>
      <c r="P42" s="160">
        <f>IF(Istruzioni!$E$7&lt;&gt;"",CostoUnitMatPrima*Qtà,"")</f>
      </c>
      <c r="Q42" s="72" t="s">
        <v>119</v>
      </c>
      <c r="R42" s="272" t="e">
        <f>IF(Z42,P42*(-S42*Valori!$B$14/100+1)*(T42*Valori!$C$14/100+1)*(U42*Valori!$D$14/100+1)+K42,"ERRORE")</f>
        <v>#VALUE!</v>
      </c>
      <c r="S42" s="94">
        <v>2</v>
      </c>
      <c r="T42" s="98">
        <v>3</v>
      </c>
      <c r="U42" s="93">
        <v>3</v>
      </c>
      <c r="V42" s="160" t="e">
        <f>IF(Z42,R42*(1&amp;","&amp;Valori!$B$7),"ERRORE")</f>
        <v>#VALUE!</v>
      </c>
      <c r="W42" s="109">
        <f t="shared" si="19"/>
        <v>2</v>
      </c>
      <c r="X42" s="109">
        <f t="shared" si="19"/>
        <v>3</v>
      </c>
      <c r="Y42" s="109">
        <f t="shared" si="19"/>
        <v>3</v>
      </c>
      <c r="Z42" s="110" t="b">
        <f t="shared" si="18"/>
        <v>1</v>
      </c>
      <c r="AA42" s="153"/>
      <c r="AB42"/>
      <c r="AC42" s="284"/>
      <c r="AG42" s="2"/>
      <c r="AH42" s="2"/>
      <c r="AI42" s="2"/>
      <c r="CA42" s="7"/>
    </row>
    <row r="43" spans="1:79" ht="12.75">
      <c r="A43" s="117"/>
      <c r="B43" s="30"/>
      <c r="C43" s="36"/>
      <c r="D43" s="30"/>
      <c r="E43" s="271"/>
      <c r="F43" s="35"/>
      <c r="G43" s="271"/>
      <c r="H43" s="35"/>
      <c r="I43" s="271"/>
      <c r="J43" s="35"/>
      <c r="K43" s="11"/>
      <c r="L43" s="20"/>
      <c r="M43" s="30"/>
      <c r="N43" s="21"/>
      <c r="O43" s="30"/>
      <c r="P43" s="11"/>
      <c r="Q43" s="17" t="s">
        <v>120</v>
      </c>
      <c r="R43" s="271"/>
      <c r="S43" s="22"/>
      <c r="T43" s="22"/>
      <c r="U43" s="22"/>
      <c r="V43" s="150">
        <f>IF(Istruzioni!$E$7&lt;&gt;"",Istruzioni!$G$12,"")</f>
      </c>
      <c r="W43" s="109"/>
      <c r="X43" s="109"/>
      <c r="Y43" s="109"/>
      <c r="Z43" s="109"/>
      <c r="AA43" s="150"/>
      <c r="AB43"/>
      <c r="AC43" s="284"/>
      <c r="AG43" s="2"/>
      <c r="AH43" s="2"/>
      <c r="AI43" s="2"/>
      <c r="CA43" s="11"/>
    </row>
    <row r="44" spans="1:79" ht="12.75">
      <c r="A44" s="97">
        <v>5</v>
      </c>
      <c r="B44" s="73" t="s">
        <v>30</v>
      </c>
      <c r="C44" s="162">
        <f aca="true" t="shared" si="20" ref="C44:C53">CostoMinuto</f>
      </c>
      <c r="D44" s="73" t="s">
        <v>79</v>
      </c>
      <c r="E44" s="269" t="e">
        <f aca="true" t="shared" si="21" ref="E44:E53">MinutiLavoro*CostoMinuto</f>
        <v>#VALUE!</v>
      </c>
      <c r="F44" s="74" t="s">
        <v>80</v>
      </c>
      <c r="G44" s="272" t="e">
        <f aca="true" t="shared" si="22" ref="G44:G53">Costi_Variabili/Min_Lavoro_Anno*A44</f>
        <v>#VALUE!</v>
      </c>
      <c r="H44" s="74" t="s">
        <v>80</v>
      </c>
      <c r="I44" s="269" t="e">
        <f aca="true" t="shared" si="23" ref="I44:I53">Costi_Fissi/Min_Lavoro_Anno*A44</f>
        <v>#VALUE!</v>
      </c>
      <c r="J44" s="74" t="s">
        <v>81</v>
      </c>
      <c r="K44" s="158" t="e">
        <f t="shared" si="0"/>
        <v>#VALUE!</v>
      </c>
      <c r="L44" s="164">
        <v>0.92</v>
      </c>
      <c r="M44" s="73" t="s">
        <v>30</v>
      </c>
      <c r="N44" s="97">
        <v>1</v>
      </c>
      <c r="O44" s="73" t="s">
        <v>79</v>
      </c>
      <c r="P44" s="160">
        <f>IF(Istruzioni!$E$7&lt;&gt;"",CostoUnitMatPrima*Qtà,"")</f>
      </c>
      <c r="Q44" s="72" t="s">
        <v>121</v>
      </c>
      <c r="R44" s="272" t="e">
        <f>IF(Z44,P44*(-S44*Valori!$B$14/100+1)*(T44*Valori!$C$14/100+1)*(U44*Valori!$D$14/100+1)+K44,"ERRORE")</f>
        <v>#VALUE!</v>
      </c>
      <c r="S44" s="94">
        <v>1</v>
      </c>
      <c r="T44" s="98">
        <v>1</v>
      </c>
      <c r="U44" s="93">
        <v>2</v>
      </c>
      <c r="V44" s="160" t="e">
        <f>IF(Z44,R44*(1&amp;","&amp;Valori!$B$7),"ERRORE")</f>
        <v>#VALUE!</v>
      </c>
      <c r="W44" s="109">
        <f t="shared" si="19"/>
        <v>1</v>
      </c>
      <c r="X44" s="109">
        <f t="shared" si="19"/>
        <v>1</v>
      </c>
      <c r="Y44" s="109">
        <f t="shared" si="19"/>
        <v>2</v>
      </c>
      <c r="Z44" s="110" t="b">
        <f aca="true" t="shared" si="24" ref="Z44:Z53">ISNUMBER(W44+X44+Y44)</f>
        <v>1</v>
      </c>
      <c r="AA44" s="152"/>
      <c r="AB44"/>
      <c r="AC44" s="284"/>
      <c r="AG44" s="2"/>
      <c r="AH44" s="2"/>
      <c r="AI44" s="2"/>
      <c r="CA44" s="7"/>
    </row>
    <row r="45" spans="1:79" ht="12.75">
      <c r="A45" s="97">
        <v>5</v>
      </c>
      <c r="B45" s="73" t="s">
        <v>30</v>
      </c>
      <c r="C45" s="162">
        <f t="shared" si="20"/>
      </c>
      <c r="D45" s="73" t="s">
        <v>79</v>
      </c>
      <c r="E45" s="269" t="e">
        <f t="shared" si="21"/>
        <v>#VALUE!</v>
      </c>
      <c r="F45" s="74" t="s">
        <v>80</v>
      </c>
      <c r="G45" s="272" t="e">
        <f t="shared" si="22"/>
        <v>#VALUE!</v>
      </c>
      <c r="H45" s="74" t="s">
        <v>80</v>
      </c>
      <c r="I45" s="269" t="e">
        <f t="shared" si="23"/>
        <v>#VALUE!</v>
      </c>
      <c r="J45" s="74" t="s">
        <v>81</v>
      </c>
      <c r="K45" s="158" t="e">
        <f t="shared" si="0"/>
        <v>#VALUE!</v>
      </c>
      <c r="L45" s="164">
        <v>1.66</v>
      </c>
      <c r="M45" s="73" t="s">
        <v>30</v>
      </c>
      <c r="N45" s="97">
        <v>1</v>
      </c>
      <c r="O45" s="73" t="s">
        <v>79</v>
      </c>
      <c r="P45" s="160">
        <f>IF(Istruzioni!$E$7&lt;&gt;"",CostoUnitMatPrima*Qtà,"")</f>
      </c>
      <c r="Q45" s="72" t="s">
        <v>122</v>
      </c>
      <c r="R45" s="272" t="e">
        <f>IF(Z45,P45*(-S45*Valori!$B$14/100+1)*(T45*Valori!$C$14/100+1)*(U45*Valori!$D$14/100+1)+K45,"ERRORE")</f>
        <v>#VALUE!</v>
      </c>
      <c r="S45" s="94">
        <v>1</v>
      </c>
      <c r="T45" s="98">
        <v>1</v>
      </c>
      <c r="U45" s="93">
        <v>2</v>
      </c>
      <c r="V45" s="160" t="e">
        <f>IF(Z45,R45*(1&amp;","&amp;Valori!$B$7),"ERRORE")</f>
        <v>#VALUE!</v>
      </c>
      <c r="W45" s="109">
        <f t="shared" si="19"/>
        <v>1</v>
      </c>
      <c r="X45" s="109">
        <f t="shared" si="19"/>
        <v>1</v>
      </c>
      <c r="Y45" s="109">
        <f t="shared" si="19"/>
        <v>2</v>
      </c>
      <c r="Z45" s="110" t="b">
        <f t="shared" si="24"/>
        <v>1</v>
      </c>
      <c r="AA45" s="153"/>
      <c r="AB45"/>
      <c r="AC45" s="284"/>
      <c r="AG45" s="2"/>
      <c r="AH45" s="2"/>
      <c r="AI45" s="2"/>
      <c r="CA45" s="7"/>
    </row>
    <row r="46" spans="1:79" ht="12.75">
      <c r="A46" s="97">
        <v>5</v>
      </c>
      <c r="B46" s="73" t="s">
        <v>30</v>
      </c>
      <c r="C46" s="162">
        <f t="shared" si="20"/>
      </c>
      <c r="D46" s="73" t="s">
        <v>79</v>
      </c>
      <c r="E46" s="269" t="e">
        <f t="shared" si="21"/>
        <v>#VALUE!</v>
      </c>
      <c r="F46" s="74" t="s">
        <v>80</v>
      </c>
      <c r="G46" s="272" t="e">
        <f t="shared" si="22"/>
        <v>#VALUE!</v>
      </c>
      <c r="H46" s="74" t="s">
        <v>80</v>
      </c>
      <c r="I46" s="269" t="e">
        <f t="shared" si="23"/>
        <v>#VALUE!</v>
      </c>
      <c r="J46" s="74" t="s">
        <v>81</v>
      </c>
      <c r="K46" s="158" t="e">
        <f t="shared" si="0"/>
        <v>#VALUE!</v>
      </c>
      <c r="L46" s="164">
        <v>4.77</v>
      </c>
      <c r="M46" s="73" t="s">
        <v>30</v>
      </c>
      <c r="N46" s="97">
        <v>1</v>
      </c>
      <c r="O46" s="73" t="s">
        <v>79</v>
      </c>
      <c r="P46" s="160">
        <f>IF(Istruzioni!$E$7&lt;&gt;"",CostoUnitMatPrima*Qtà,"")</f>
      </c>
      <c r="Q46" s="72" t="s">
        <v>123</v>
      </c>
      <c r="R46" s="272" t="e">
        <f>IF(Z46,P46*(-S46*Valori!$B$14/100+1)*(T46*Valori!$C$14/100+1)*(U46*Valori!$D$14/100+1)+K46,"ERRORE")</f>
        <v>#VALUE!</v>
      </c>
      <c r="S46" s="94">
        <v>1</v>
      </c>
      <c r="T46" s="98">
        <v>1</v>
      </c>
      <c r="U46" s="93">
        <v>2</v>
      </c>
      <c r="V46" s="160" t="e">
        <f>IF(Z46,R46*(1&amp;","&amp;Valori!$B$7),"ERRORE")</f>
        <v>#VALUE!</v>
      </c>
      <c r="W46" s="109">
        <f t="shared" si="19"/>
        <v>1</v>
      </c>
      <c r="X46" s="109">
        <f t="shared" si="19"/>
        <v>1</v>
      </c>
      <c r="Y46" s="109">
        <f t="shared" si="19"/>
        <v>2</v>
      </c>
      <c r="Z46" s="110" t="b">
        <f t="shared" si="24"/>
        <v>1</v>
      </c>
      <c r="AA46" s="153"/>
      <c r="AB46"/>
      <c r="AC46" s="284"/>
      <c r="AG46" s="2"/>
      <c r="AH46" s="2"/>
      <c r="AI46" s="2"/>
      <c r="CA46" s="7"/>
    </row>
    <row r="47" spans="1:79" ht="12.75">
      <c r="A47" s="97">
        <v>5</v>
      </c>
      <c r="B47" s="73" t="s">
        <v>30</v>
      </c>
      <c r="C47" s="162">
        <f t="shared" si="20"/>
      </c>
      <c r="D47" s="73" t="s">
        <v>79</v>
      </c>
      <c r="E47" s="269" t="e">
        <f t="shared" si="21"/>
        <v>#VALUE!</v>
      </c>
      <c r="F47" s="74" t="s">
        <v>80</v>
      </c>
      <c r="G47" s="272" t="e">
        <f t="shared" si="22"/>
        <v>#VALUE!</v>
      </c>
      <c r="H47" s="74" t="s">
        <v>80</v>
      </c>
      <c r="I47" s="269" t="e">
        <f t="shared" si="23"/>
        <v>#VALUE!</v>
      </c>
      <c r="J47" s="74" t="s">
        <v>81</v>
      </c>
      <c r="K47" s="158" t="e">
        <f t="shared" si="0"/>
        <v>#VALUE!</v>
      </c>
      <c r="L47" s="164">
        <v>7.99</v>
      </c>
      <c r="M47" s="73" t="s">
        <v>30</v>
      </c>
      <c r="N47" s="97">
        <v>1</v>
      </c>
      <c r="O47" s="73" t="s">
        <v>79</v>
      </c>
      <c r="P47" s="160">
        <f>IF(Istruzioni!$E$7&lt;&gt;"",CostoUnitMatPrima*Qtà,"")</f>
      </c>
      <c r="Q47" s="72" t="s">
        <v>124</v>
      </c>
      <c r="R47" s="272" t="e">
        <f>IF(Z47,P47*(-S47*Valori!$B$14/100+1)*(T47*Valori!$C$14/100+1)*(U47*Valori!$D$14/100+1)+K47,"ERRORE")</f>
        <v>#VALUE!</v>
      </c>
      <c r="S47" s="94">
        <v>1</v>
      </c>
      <c r="T47" s="98">
        <v>1</v>
      </c>
      <c r="U47" s="93">
        <v>2</v>
      </c>
      <c r="V47" s="160" t="e">
        <f>IF(Z47,R47*(1&amp;","&amp;Valori!$B$7),"ERRORE")</f>
        <v>#VALUE!</v>
      </c>
      <c r="W47" s="109">
        <f t="shared" si="19"/>
        <v>1</v>
      </c>
      <c r="X47" s="109">
        <f t="shared" si="19"/>
        <v>1</v>
      </c>
      <c r="Y47" s="109">
        <f t="shared" si="19"/>
        <v>2</v>
      </c>
      <c r="Z47" s="110" t="b">
        <f t="shared" si="24"/>
        <v>1</v>
      </c>
      <c r="AA47" s="153"/>
      <c r="AB47"/>
      <c r="AC47" s="284"/>
      <c r="AG47" s="2"/>
      <c r="AH47" s="2"/>
      <c r="AI47" s="2"/>
      <c r="CA47" s="7"/>
    </row>
    <row r="48" spans="1:79" ht="12.75">
      <c r="A48" s="97">
        <v>5</v>
      </c>
      <c r="B48" s="73" t="s">
        <v>30</v>
      </c>
      <c r="C48" s="162">
        <f t="shared" si="20"/>
      </c>
      <c r="D48" s="73" t="s">
        <v>79</v>
      </c>
      <c r="E48" s="269" t="e">
        <f t="shared" si="21"/>
        <v>#VALUE!</v>
      </c>
      <c r="F48" s="74" t="s">
        <v>80</v>
      </c>
      <c r="G48" s="272" t="e">
        <f t="shared" si="22"/>
        <v>#VALUE!</v>
      </c>
      <c r="H48" s="74" t="s">
        <v>80</v>
      </c>
      <c r="I48" s="269" t="e">
        <f t="shared" si="23"/>
        <v>#VALUE!</v>
      </c>
      <c r="J48" s="74" t="s">
        <v>81</v>
      </c>
      <c r="K48" s="158" t="e">
        <f t="shared" si="0"/>
        <v>#VALUE!</v>
      </c>
      <c r="L48" s="164">
        <v>12.6</v>
      </c>
      <c r="M48" s="73" t="s">
        <v>30</v>
      </c>
      <c r="N48" s="97">
        <v>1</v>
      </c>
      <c r="O48" s="73" t="s">
        <v>79</v>
      </c>
      <c r="P48" s="160">
        <f>IF(Istruzioni!$E$7&lt;&gt;"",CostoUnitMatPrima*Qtà,"")</f>
      </c>
      <c r="Q48" s="72" t="s">
        <v>37</v>
      </c>
      <c r="R48" s="272" t="e">
        <f>IF(Z48,P48*(-S48*Valori!$B$14/100+1)*(T48*Valori!$C$14/100+1)*(U48*Valori!$D$14/100+1)+K48,"ERRORE")</f>
        <v>#VALUE!</v>
      </c>
      <c r="S48" s="94">
        <v>1</v>
      </c>
      <c r="T48" s="98">
        <v>1</v>
      </c>
      <c r="U48" s="93">
        <v>2</v>
      </c>
      <c r="V48" s="160" t="e">
        <f>IF(Z48,R48*(1&amp;","&amp;Valori!$B$7),"ERRORE")</f>
        <v>#VALUE!</v>
      </c>
      <c r="W48" s="109">
        <f t="shared" si="19"/>
        <v>1</v>
      </c>
      <c r="X48" s="109">
        <f t="shared" si="19"/>
        <v>1</v>
      </c>
      <c r="Y48" s="109">
        <f t="shared" si="19"/>
        <v>2</v>
      </c>
      <c r="Z48" s="110" t="b">
        <f t="shared" si="24"/>
        <v>1</v>
      </c>
      <c r="AA48" s="153"/>
      <c r="AB48"/>
      <c r="AC48" s="284"/>
      <c r="AG48" s="2"/>
      <c r="AH48" s="2"/>
      <c r="AI48" s="2"/>
      <c r="CA48" s="7"/>
    </row>
    <row r="49" spans="1:79" ht="12.75">
      <c r="A49" s="97">
        <v>5</v>
      </c>
      <c r="B49" s="73" t="s">
        <v>30</v>
      </c>
      <c r="C49" s="162">
        <f t="shared" si="20"/>
      </c>
      <c r="D49" s="73" t="s">
        <v>79</v>
      </c>
      <c r="E49" s="269" t="e">
        <f t="shared" si="21"/>
        <v>#VALUE!</v>
      </c>
      <c r="F49" s="74" t="s">
        <v>80</v>
      </c>
      <c r="G49" s="272" t="e">
        <f t="shared" si="22"/>
        <v>#VALUE!</v>
      </c>
      <c r="H49" s="74" t="s">
        <v>80</v>
      </c>
      <c r="I49" s="269" t="e">
        <f t="shared" si="23"/>
        <v>#VALUE!</v>
      </c>
      <c r="J49" s="74" t="s">
        <v>81</v>
      </c>
      <c r="K49" s="158" t="e">
        <f t="shared" si="0"/>
        <v>#VALUE!</v>
      </c>
      <c r="L49" s="164">
        <v>0.95</v>
      </c>
      <c r="M49" s="73" t="s">
        <v>30</v>
      </c>
      <c r="N49" s="97">
        <v>1</v>
      </c>
      <c r="O49" s="73" t="s">
        <v>79</v>
      </c>
      <c r="P49" s="160">
        <f>IF(Istruzioni!$E$7&lt;&gt;"",CostoUnitMatPrima*Qtà,"")</f>
      </c>
      <c r="Q49" s="72" t="s">
        <v>66</v>
      </c>
      <c r="R49" s="272" t="e">
        <f>IF(Z49,P49*(-S49*Valori!$B$14/100+1)*(T49*Valori!$C$14/100+1)*(U49*Valori!$D$14/100+1)+K49,"ERRORE")</f>
        <v>#VALUE!</v>
      </c>
      <c r="S49" s="94">
        <v>1</v>
      </c>
      <c r="T49" s="98">
        <v>1</v>
      </c>
      <c r="U49" s="93">
        <v>2</v>
      </c>
      <c r="V49" s="160" t="e">
        <f>IF(Z49,R49*(1&amp;","&amp;Valori!$B$7),"ERRORE")</f>
        <v>#VALUE!</v>
      </c>
      <c r="W49" s="109">
        <f t="shared" si="19"/>
        <v>1</v>
      </c>
      <c r="X49" s="109">
        <f t="shared" si="19"/>
        <v>1</v>
      </c>
      <c r="Y49" s="109">
        <f t="shared" si="19"/>
        <v>2</v>
      </c>
      <c r="Z49" s="110" t="b">
        <f t="shared" si="24"/>
        <v>1</v>
      </c>
      <c r="AA49" s="153"/>
      <c r="AB49"/>
      <c r="AC49" s="284"/>
      <c r="AG49" s="2"/>
      <c r="AH49" s="2"/>
      <c r="AI49" s="2"/>
      <c r="CA49" s="7"/>
    </row>
    <row r="50" spans="1:79" ht="12.75">
      <c r="A50" s="97">
        <v>5</v>
      </c>
      <c r="B50" s="73" t="s">
        <v>30</v>
      </c>
      <c r="C50" s="162">
        <f t="shared" si="20"/>
      </c>
      <c r="D50" s="73" t="s">
        <v>79</v>
      </c>
      <c r="E50" s="269" t="e">
        <f t="shared" si="21"/>
        <v>#VALUE!</v>
      </c>
      <c r="F50" s="74" t="s">
        <v>80</v>
      </c>
      <c r="G50" s="272" t="e">
        <f t="shared" si="22"/>
        <v>#VALUE!</v>
      </c>
      <c r="H50" s="74" t="s">
        <v>80</v>
      </c>
      <c r="I50" s="269" t="e">
        <f t="shared" si="23"/>
        <v>#VALUE!</v>
      </c>
      <c r="J50" s="74" t="s">
        <v>81</v>
      </c>
      <c r="K50" s="158" t="e">
        <f t="shared" si="0"/>
        <v>#VALUE!</v>
      </c>
      <c r="L50" s="164">
        <v>1.91</v>
      </c>
      <c r="M50" s="73" t="s">
        <v>30</v>
      </c>
      <c r="N50" s="97">
        <v>1</v>
      </c>
      <c r="O50" s="73" t="s">
        <v>79</v>
      </c>
      <c r="P50" s="160">
        <f>IF(Istruzioni!$E$7&lt;&gt;"",CostoUnitMatPrima*Qtà,"")</f>
      </c>
      <c r="Q50" s="72" t="s">
        <v>67</v>
      </c>
      <c r="R50" s="272" t="e">
        <f>IF(Z50,P50*(-S50*Valori!$B$14/100+1)*(T50*Valori!$C$14/100+1)*(U50*Valori!$D$14/100+1)+K50,"ERRORE")</f>
        <v>#VALUE!</v>
      </c>
      <c r="S50" s="94">
        <v>1</v>
      </c>
      <c r="T50" s="98">
        <v>1</v>
      </c>
      <c r="U50" s="93">
        <v>2</v>
      </c>
      <c r="V50" s="160" t="e">
        <f>IF(Z50,R50*(1&amp;","&amp;Valori!$B$7),"ERRORE")</f>
        <v>#VALUE!</v>
      </c>
      <c r="W50" s="109">
        <f t="shared" si="19"/>
        <v>1</v>
      </c>
      <c r="X50" s="109">
        <f t="shared" si="19"/>
        <v>1</v>
      </c>
      <c r="Y50" s="109">
        <f t="shared" si="19"/>
        <v>2</v>
      </c>
      <c r="Z50" s="110" t="b">
        <f t="shared" si="24"/>
        <v>1</v>
      </c>
      <c r="AA50" s="153"/>
      <c r="AB50"/>
      <c r="AC50" s="284"/>
      <c r="AG50" s="2"/>
      <c r="AH50" s="2"/>
      <c r="AI50" s="2"/>
      <c r="CA50" s="7"/>
    </row>
    <row r="51" spans="1:79" ht="12.75">
      <c r="A51" s="97">
        <v>5</v>
      </c>
      <c r="B51" s="73" t="s">
        <v>30</v>
      </c>
      <c r="C51" s="162">
        <f t="shared" si="20"/>
      </c>
      <c r="D51" s="73" t="s">
        <v>79</v>
      </c>
      <c r="E51" s="269" t="e">
        <f t="shared" si="21"/>
        <v>#VALUE!</v>
      </c>
      <c r="F51" s="74" t="s">
        <v>80</v>
      </c>
      <c r="G51" s="272" t="e">
        <f t="shared" si="22"/>
        <v>#VALUE!</v>
      </c>
      <c r="H51" s="74" t="s">
        <v>80</v>
      </c>
      <c r="I51" s="269" t="e">
        <f t="shared" si="23"/>
        <v>#VALUE!</v>
      </c>
      <c r="J51" s="74" t="s">
        <v>81</v>
      </c>
      <c r="K51" s="158" t="e">
        <f t="shared" si="0"/>
        <v>#VALUE!</v>
      </c>
      <c r="L51" s="164">
        <v>4.79</v>
      </c>
      <c r="M51" s="73" t="s">
        <v>30</v>
      </c>
      <c r="N51" s="97">
        <v>1</v>
      </c>
      <c r="O51" s="73" t="s">
        <v>79</v>
      </c>
      <c r="P51" s="160">
        <f>IF(Istruzioni!$E$7&lt;&gt;"",CostoUnitMatPrima*Qtà,"")</f>
      </c>
      <c r="Q51" s="72" t="s">
        <v>68</v>
      </c>
      <c r="R51" s="272" t="e">
        <f>IF(Z51,P51*(-S51*Valori!$B$14/100+1)*(T51*Valori!$C$14/100+1)*(U51*Valori!$D$14/100+1)+K51,"ERRORE")</f>
        <v>#VALUE!</v>
      </c>
      <c r="S51" s="94">
        <v>1</v>
      </c>
      <c r="T51" s="98">
        <v>1</v>
      </c>
      <c r="U51" s="93">
        <v>2</v>
      </c>
      <c r="V51" s="160" t="e">
        <f>IF(Z51,R51*(1&amp;","&amp;Valori!$B$7),"ERRORE")</f>
        <v>#VALUE!</v>
      </c>
      <c r="W51" s="109">
        <f t="shared" si="19"/>
        <v>1</v>
      </c>
      <c r="X51" s="109">
        <f t="shared" si="19"/>
        <v>1</v>
      </c>
      <c r="Y51" s="109">
        <f t="shared" si="19"/>
        <v>2</v>
      </c>
      <c r="Z51" s="110" t="b">
        <f t="shared" si="24"/>
        <v>1</v>
      </c>
      <c r="AA51" s="153"/>
      <c r="AB51"/>
      <c r="AC51" s="284"/>
      <c r="AG51" s="2"/>
      <c r="AH51" s="2"/>
      <c r="AI51" s="2"/>
      <c r="CA51" s="7"/>
    </row>
    <row r="52" spans="1:79" ht="12.75">
      <c r="A52" s="97">
        <v>5</v>
      </c>
      <c r="B52" s="73" t="s">
        <v>30</v>
      </c>
      <c r="C52" s="162">
        <f t="shared" si="20"/>
      </c>
      <c r="D52" s="73" t="s">
        <v>79</v>
      </c>
      <c r="E52" s="269" t="e">
        <f t="shared" si="21"/>
        <v>#VALUE!</v>
      </c>
      <c r="F52" s="74" t="s">
        <v>80</v>
      </c>
      <c r="G52" s="272" t="e">
        <f t="shared" si="22"/>
        <v>#VALUE!</v>
      </c>
      <c r="H52" s="74" t="s">
        <v>80</v>
      </c>
      <c r="I52" s="269" t="e">
        <f t="shared" si="23"/>
        <v>#VALUE!</v>
      </c>
      <c r="J52" s="74" t="s">
        <v>81</v>
      </c>
      <c r="K52" s="158" t="e">
        <f t="shared" si="0"/>
        <v>#VALUE!</v>
      </c>
      <c r="L52" s="164">
        <v>15.12</v>
      </c>
      <c r="M52" s="73" t="s">
        <v>30</v>
      </c>
      <c r="N52" s="97">
        <v>1</v>
      </c>
      <c r="O52" s="73" t="s">
        <v>79</v>
      </c>
      <c r="P52" s="160">
        <f>IF(Istruzioni!$E$7&lt;&gt;"",CostoUnitMatPrima*Qtà,"")</f>
      </c>
      <c r="Q52" s="72" t="s">
        <v>69</v>
      </c>
      <c r="R52" s="272" t="e">
        <f>IF(Z52,P52*(-S52*Valori!$B$14/100+1)*(T52*Valori!$C$14/100+1)*(U52*Valori!$D$14/100+1)+K52,"ERRORE")</f>
        <v>#VALUE!</v>
      </c>
      <c r="S52" s="94">
        <v>1</v>
      </c>
      <c r="T52" s="98">
        <v>1</v>
      </c>
      <c r="U52" s="93">
        <v>2</v>
      </c>
      <c r="V52" s="160" t="e">
        <f>IF(Z52,R52*(1&amp;","&amp;Valori!$B$7),"ERRORE")</f>
        <v>#VALUE!</v>
      </c>
      <c r="W52" s="109">
        <f t="shared" si="19"/>
        <v>1</v>
      </c>
      <c r="X52" s="109">
        <f t="shared" si="19"/>
        <v>1</v>
      </c>
      <c r="Y52" s="109">
        <f t="shared" si="19"/>
        <v>2</v>
      </c>
      <c r="Z52" s="110" t="b">
        <f t="shared" si="24"/>
        <v>1</v>
      </c>
      <c r="AA52" s="153"/>
      <c r="AB52"/>
      <c r="AC52" s="284"/>
      <c r="AG52" s="2"/>
      <c r="AH52" s="2"/>
      <c r="AI52" s="2"/>
      <c r="CA52" s="7"/>
    </row>
    <row r="53" spans="1:79" ht="12.75">
      <c r="A53" s="97">
        <v>5</v>
      </c>
      <c r="B53" s="73" t="s">
        <v>30</v>
      </c>
      <c r="C53" s="162">
        <f t="shared" si="20"/>
      </c>
      <c r="D53" s="73" t="s">
        <v>79</v>
      </c>
      <c r="E53" s="269" t="e">
        <f t="shared" si="21"/>
        <v>#VALUE!</v>
      </c>
      <c r="F53" s="74" t="s">
        <v>80</v>
      </c>
      <c r="G53" s="272" t="e">
        <f t="shared" si="22"/>
        <v>#VALUE!</v>
      </c>
      <c r="H53" s="74" t="s">
        <v>80</v>
      </c>
      <c r="I53" s="269" t="e">
        <f t="shared" si="23"/>
        <v>#VALUE!</v>
      </c>
      <c r="J53" s="74" t="s">
        <v>81</v>
      </c>
      <c r="K53" s="158" t="e">
        <f t="shared" si="0"/>
        <v>#VALUE!</v>
      </c>
      <c r="L53" s="164">
        <v>20.32</v>
      </c>
      <c r="M53" s="73" t="s">
        <v>30</v>
      </c>
      <c r="N53" s="97">
        <v>1</v>
      </c>
      <c r="O53" s="73" t="s">
        <v>79</v>
      </c>
      <c r="P53" s="160">
        <f>IF(Istruzioni!$E$7&lt;&gt;"",CostoUnitMatPrima*Qtà,"")</f>
      </c>
      <c r="Q53" s="72" t="s">
        <v>70</v>
      </c>
      <c r="R53" s="272" t="e">
        <f>IF(Z53,P53*(-S53*Valori!$B$14/100+1)*(T53*Valori!$C$14/100+1)*(U53*Valori!$D$14/100+1)+K53,"ERRORE")</f>
        <v>#VALUE!</v>
      </c>
      <c r="S53" s="94">
        <v>1</v>
      </c>
      <c r="T53" s="98">
        <v>1</v>
      </c>
      <c r="U53" s="93">
        <v>2</v>
      </c>
      <c r="V53" s="160" t="e">
        <f>IF(Z53,R53*(1&amp;","&amp;Valori!$B$7),"ERRORE")</f>
        <v>#VALUE!</v>
      </c>
      <c r="W53" s="109">
        <f t="shared" si="19"/>
        <v>1</v>
      </c>
      <c r="X53" s="109">
        <f t="shared" si="19"/>
        <v>1</v>
      </c>
      <c r="Y53" s="109">
        <f t="shared" si="19"/>
        <v>2</v>
      </c>
      <c r="Z53" s="110" t="b">
        <f t="shared" si="24"/>
        <v>1</v>
      </c>
      <c r="AA53" s="153"/>
      <c r="AB53"/>
      <c r="AC53" s="284"/>
      <c r="AG53" s="2"/>
      <c r="AH53" s="2"/>
      <c r="AI53" s="2"/>
      <c r="CA53" s="7"/>
    </row>
    <row r="54" spans="1:79" ht="12.75">
      <c r="A54" s="117"/>
      <c r="B54" s="30"/>
      <c r="C54" s="37"/>
      <c r="D54" s="30"/>
      <c r="E54" s="271"/>
      <c r="F54" s="35"/>
      <c r="G54" s="271"/>
      <c r="H54" s="35"/>
      <c r="I54" s="271"/>
      <c r="J54" s="35"/>
      <c r="K54" s="11"/>
      <c r="L54" s="20"/>
      <c r="M54" s="30"/>
      <c r="N54" s="21"/>
      <c r="O54" s="30"/>
      <c r="P54" s="11"/>
      <c r="Q54" s="23" t="s">
        <v>38</v>
      </c>
      <c r="R54" s="271"/>
      <c r="S54" s="22"/>
      <c r="T54" s="22"/>
      <c r="U54" s="22"/>
      <c r="V54" s="150">
        <f>IF(Istruzioni!$E$7&lt;&gt;"",Istruzioni!$G$12,"")</f>
      </c>
      <c r="W54" s="109"/>
      <c r="X54" s="109"/>
      <c r="Y54" s="109"/>
      <c r="Z54" s="109"/>
      <c r="AA54" s="150"/>
      <c r="AB54"/>
      <c r="AC54" s="284"/>
      <c r="AG54" s="2"/>
      <c r="AH54" s="2"/>
      <c r="AI54" s="2"/>
      <c r="CA54" s="11"/>
    </row>
    <row r="55" spans="1:79" ht="12.75">
      <c r="A55" s="97">
        <v>5</v>
      </c>
      <c r="B55" s="73" t="s">
        <v>30</v>
      </c>
      <c r="C55" s="162">
        <f aca="true" t="shared" si="25" ref="C55:C70">CostoMinuto</f>
      </c>
      <c r="D55" s="73" t="s">
        <v>79</v>
      </c>
      <c r="E55" s="269" t="e">
        <f aca="true" t="shared" si="26" ref="E55:E72">MinutiLavoro*CostoMinuto</f>
        <v>#VALUE!</v>
      </c>
      <c r="F55" s="74" t="s">
        <v>80</v>
      </c>
      <c r="G55" s="272" t="e">
        <f aca="true" t="shared" si="27" ref="G55:G72">Costi_Variabili/Min_Lavoro_Anno*A55</f>
        <v>#VALUE!</v>
      </c>
      <c r="H55" s="74" t="s">
        <v>80</v>
      </c>
      <c r="I55" s="269" t="e">
        <f aca="true" t="shared" si="28" ref="I55:I72">Costi_Fissi/Min_Lavoro_Anno*A55</f>
        <v>#VALUE!</v>
      </c>
      <c r="J55" s="74" t="s">
        <v>81</v>
      </c>
      <c r="K55" s="158" t="e">
        <f t="shared" si="0"/>
        <v>#VALUE!</v>
      </c>
      <c r="L55" s="164">
        <v>3.12</v>
      </c>
      <c r="M55" s="73" t="s">
        <v>30</v>
      </c>
      <c r="N55" s="97">
        <v>1</v>
      </c>
      <c r="O55" s="73" t="s">
        <v>79</v>
      </c>
      <c r="P55" s="160">
        <f>IF(Istruzioni!$E$7&lt;&gt;"",CostoUnitMatPrima*Qtà,"")</f>
      </c>
      <c r="Q55" s="72" t="s">
        <v>39</v>
      </c>
      <c r="R55" s="272" t="e">
        <f>IF(Z55,P55*(-S55*Valori!$B$14/100+1)*(T55*Valori!$C$14/100+1)*(U55*Valori!$D$14/100+1)+K55,"ERRORE")</f>
        <v>#VALUE!</v>
      </c>
      <c r="S55" s="94">
        <v>1</v>
      </c>
      <c r="T55" s="98">
        <v>3</v>
      </c>
      <c r="U55" s="93">
        <v>4</v>
      </c>
      <c r="V55" s="160" t="e">
        <f>IF(Z55,R55*(1&amp;","&amp;Valori!$B$7),"ERRORE")</f>
        <v>#VALUE!</v>
      </c>
      <c r="W55" s="109">
        <f aca="true" t="shared" si="29" ref="W55:Y70">IF(S55&lt;=0,"errore",IF(S55&gt;5,"errore",S55))</f>
        <v>1</v>
      </c>
      <c r="X55" s="109">
        <f t="shared" si="29"/>
        <v>3</v>
      </c>
      <c r="Y55" s="109">
        <f t="shared" si="29"/>
        <v>4</v>
      </c>
      <c r="Z55" s="110" t="b">
        <f aca="true" t="shared" si="30" ref="Z55:Z72">ISNUMBER(W55+X55+Y55)</f>
        <v>1</v>
      </c>
      <c r="AA55" s="152"/>
      <c r="AB55"/>
      <c r="AC55" s="284"/>
      <c r="AG55" s="2"/>
      <c r="AH55" s="2"/>
      <c r="AI55" s="2"/>
      <c r="CA55" s="7"/>
    </row>
    <row r="56" spans="1:79" ht="12.75">
      <c r="A56" s="97">
        <v>6</v>
      </c>
      <c r="B56" s="73" t="s">
        <v>30</v>
      </c>
      <c r="C56" s="162">
        <f t="shared" si="25"/>
      </c>
      <c r="D56" s="73" t="s">
        <v>79</v>
      </c>
      <c r="E56" s="269" t="e">
        <f t="shared" si="26"/>
        <v>#VALUE!</v>
      </c>
      <c r="F56" s="74" t="s">
        <v>80</v>
      </c>
      <c r="G56" s="272" t="e">
        <f t="shared" si="27"/>
        <v>#VALUE!</v>
      </c>
      <c r="H56" s="74" t="s">
        <v>80</v>
      </c>
      <c r="I56" s="269" t="e">
        <f t="shared" si="28"/>
        <v>#VALUE!</v>
      </c>
      <c r="J56" s="74" t="s">
        <v>81</v>
      </c>
      <c r="K56" s="158" t="e">
        <f t="shared" si="0"/>
        <v>#VALUE!</v>
      </c>
      <c r="L56" s="164">
        <v>4.18</v>
      </c>
      <c r="M56" s="73" t="s">
        <v>30</v>
      </c>
      <c r="N56" s="97">
        <v>1</v>
      </c>
      <c r="O56" s="73" t="s">
        <v>79</v>
      </c>
      <c r="P56" s="160">
        <f>IF(Istruzioni!$E$7&lt;&gt;"",CostoUnitMatPrima*Qtà,"")</f>
      </c>
      <c r="Q56" s="72" t="s">
        <v>40</v>
      </c>
      <c r="R56" s="272" t="e">
        <f>IF(Z56,P56*(-S56*Valori!$B$14/100+1)*(T56*Valori!$C$14/100+1)*(U56*Valori!$D$14/100+1)+K56,"ERRORE")</f>
        <v>#VALUE!</v>
      </c>
      <c r="S56" s="94">
        <v>1</v>
      </c>
      <c r="T56" s="98">
        <v>4</v>
      </c>
      <c r="U56" s="93">
        <v>4</v>
      </c>
      <c r="V56" s="160" t="e">
        <f>IF(Z56,R56*(1&amp;","&amp;Valori!$B$7),"ERRORE")</f>
        <v>#VALUE!</v>
      </c>
      <c r="W56" s="109">
        <f t="shared" si="29"/>
        <v>1</v>
      </c>
      <c r="X56" s="109">
        <f t="shared" si="29"/>
        <v>4</v>
      </c>
      <c r="Y56" s="109">
        <f t="shared" si="29"/>
        <v>4</v>
      </c>
      <c r="Z56" s="110" t="b">
        <f t="shared" si="30"/>
        <v>1</v>
      </c>
      <c r="AA56" s="153"/>
      <c r="AB56"/>
      <c r="AC56" s="284"/>
      <c r="AG56" s="2"/>
      <c r="AH56" s="2"/>
      <c r="AI56" s="2"/>
      <c r="CA56" s="7"/>
    </row>
    <row r="57" spans="1:79" ht="12.75">
      <c r="A57" s="97">
        <v>7</v>
      </c>
      <c r="B57" s="73" t="s">
        <v>30</v>
      </c>
      <c r="C57" s="162">
        <f t="shared" si="25"/>
      </c>
      <c r="D57" s="73" t="s">
        <v>79</v>
      </c>
      <c r="E57" s="269" t="e">
        <f t="shared" si="26"/>
        <v>#VALUE!</v>
      </c>
      <c r="F57" s="74" t="s">
        <v>80</v>
      </c>
      <c r="G57" s="272" t="e">
        <f t="shared" si="27"/>
        <v>#VALUE!</v>
      </c>
      <c r="H57" s="74" t="s">
        <v>80</v>
      </c>
      <c r="I57" s="269" t="e">
        <f t="shared" si="28"/>
        <v>#VALUE!</v>
      </c>
      <c r="J57" s="74" t="s">
        <v>81</v>
      </c>
      <c r="K57" s="158" t="e">
        <f t="shared" si="0"/>
        <v>#VALUE!</v>
      </c>
      <c r="L57" s="164">
        <v>4.18</v>
      </c>
      <c r="M57" s="73" t="s">
        <v>30</v>
      </c>
      <c r="N57" s="97">
        <v>1</v>
      </c>
      <c r="O57" s="73" t="s">
        <v>79</v>
      </c>
      <c r="P57" s="160">
        <f>IF(Istruzioni!$E$7&lt;&gt;"",CostoUnitMatPrima*Qtà,"")</f>
      </c>
      <c r="Q57" s="72" t="s">
        <v>41</v>
      </c>
      <c r="R57" s="272" t="e">
        <f>IF(Z57,P57*(-S57*Valori!$B$14/100+1)*(T57*Valori!$C$14/100+1)*(U57*Valori!$D$14/100+1)+K57,"ERRORE")</f>
        <v>#VALUE!</v>
      </c>
      <c r="S57" s="94">
        <v>1</v>
      </c>
      <c r="T57" s="98">
        <v>4</v>
      </c>
      <c r="U57" s="93">
        <v>4</v>
      </c>
      <c r="V57" s="160" t="e">
        <f>IF(Z57,R57*(1&amp;","&amp;Valori!$B$7),"ERRORE")</f>
        <v>#VALUE!</v>
      </c>
      <c r="W57" s="109">
        <f t="shared" si="29"/>
        <v>1</v>
      </c>
      <c r="X57" s="109">
        <f t="shared" si="29"/>
        <v>4</v>
      </c>
      <c r="Y57" s="109">
        <f t="shared" si="29"/>
        <v>4</v>
      </c>
      <c r="Z57" s="110" t="b">
        <f t="shared" si="30"/>
        <v>1</v>
      </c>
      <c r="AA57" s="153"/>
      <c r="AB57"/>
      <c r="AC57" s="284"/>
      <c r="CA57" s="7"/>
    </row>
    <row r="58" spans="1:79" ht="12.75">
      <c r="A58" s="97">
        <v>8</v>
      </c>
      <c r="B58" s="73" t="s">
        <v>30</v>
      </c>
      <c r="C58" s="162">
        <f t="shared" si="25"/>
      </c>
      <c r="D58" s="73" t="s">
        <v>79</v>
      </c>
      <c r="E58" s="269" t="e">
        <f t="shared" si="26"/>
        <v>#VALUE!</v>
      </c>
      <c r="F58" s="74" t="s">
        <v>80</v>
      </c>
      <c r="G58" s="272" t="e">
        <f t="shared" si="27"/>
        <v>#VALUE!</v>
      </c>
      <c r="H58" s="74" t="s">
        <v>80</v>
      </c>
      <c r="I58" s="269" t="e">
        <f t="shared" si="28"/>
        <v>#VALUE!</v>
      </c>
      <c r="J58" s="74" t="s">
        <v>81</v>
      </c>
      <c r="K58" s="158" t="e">
        <f t="shared" si="0"/>
        <v>#VALUE!</v>
      </c>
      <c r="L58" s="164">
        <v>8.68</v>
      </c>
      <c r="M58" s="73" t="s">
        <v>30</v>
      </c>
      <c r="N58" s="97">
        <v>1</v>
      </c>
      <c r="O58" s="73" t="s">
        <v>79</v>
      </c>
      <c r="P58" s="160">
        <f>IF(Istruzioni!$E$7&lt;&gt;"",CostoUnitMatPrima*Qtà,"")</f>
      </c>
      <c r="Q58" s="72" t="s">
        <v>42</v>
      </c>
      <c r="R58" s="272" t="e">
        <f>IF(Z58,P58*(-S58*Valori!$B$14/100+1)*(T58*Valori!$C$14/100+1)*(U58*Valori!$D$14/100+1)+K58,"ERRORE")</f>
        <v>#VALUE!</v>
      </c>
      <c r="S58" s="94">
        <v>1</v>
      </c>
      <c r="T58" s="98">
        <v>3</v>
      </c>
      <c r="U58" s="93">
        <v>5</v>
      </c>
      <c r="V58" s="160" t="e">
        <f>IF(Z58,R58*(1&amp;","&amp;Valori!$B$7),"ERRORE")</f>
        <v>#VALUE!</v>
      </c>
      <c r="W58" s="109">
        <f t="shared" si="29"/>
        <v>1</v>
      </c>
      <c r="X58" s="109">
        <f t="shared" si="29"/>
        <v>3</v>
      </c>
      <c r="Y58" s="109">
        <f t="shared" si="29"/>
        <v>5</v>
      </c>
      <c r="Z58" s="110" t="b">
        <f t="shared" si="30"/>
        <v>1</v>
      </c>
      <c r="AA58" s="153"/>
      <c r="AB58"/>
      <c r="AC58" s="284"/>
      <c r="CA58" s="7"/>
    </row>
    <row r="59" spans="1:79" ht="12.75">
      <c r="A59" s="97">
        <v>8</v>
      </c>
      <c r="B59" s="73" t="s">
        <v>30</v>
      </c>
      <c r="C59" s="162">
        <f t="shared" si="25"/>
      </c>
      <c r="D59" s="73" t="s">
        <v>79</v>
      </c>
      <c r="E59" s="269" t="e">
        <f t="shared" si="26"/>
        <v>#VALUE!</v>
      </c>
      <c r="F59" s="74" t="s">
        <v>80</v>
      </c>
      <c r="G59" s="272" t="e">
        <f t="shared" si="27"/>
        <v>#VALUE!</v>
      </c>
      <c r="H59" s="74" t="s">
        <v>80</v>
      </c>
      <c r="I59" s="269" t="e">
        <f t="shared" si="28"/>
        <v>#VALUE!</v>
      </c>
      <c r="J59" s="74" t="s">
        <v>81</v>
      </c>
      <c r="K59" s="158" t="e">
        <f t="shared" si="0"/>
        <v>#VALUE!</v>
      </c>
      <c r="L59" s="164">
        <v>9.73</v>
      </c>
      <c r="M59" s="73" t="s">
        <v>30</v>
      </c>
      <c r="N59" s="97">
        <v>1</v>
      </c>
      <c r="O59" s="73" t="s">
        <v>79</v>
      </c>
      <c r="P59" s="160">
        <f>IF(Istruzioni!$E$7&lt;&gt;"",CostoUnitMatPrima*Qtà,"")</f>
      </c>
      <c r="Q59" s="72" t="s">
        <v>43</v>
      </c>
      <c r="R59" s="272" t="e">
        <f>IF(Z59,P59*(-S59*Valori!$B$14/100+1)*(T59*Valori!$C$14/100+1)*(U59*Valori!$D$14/100+1)+K59,"ERRORE")</f>
        <v>#VALUE!</v>
      </c>
      <c r="S59" s="94">
        <v>1</v>
      </c>
      <c r="T59" s="98">
        <v>4</v>
      </c>
      <c r="U59" s="93">
        <v>5</v>
      </c>
      <c r="V59" s="160" t="e">
        <f>IF(Z59,R59*(1&amp;","&amp;Valori!$B$7),"ERRORE")</f>
        <v>#VALUE!</v>
      </c>
      <c r="W59" s="109">
        <f t="shared" si="29"/>
        <v>1</v>
      </c>
      <c r="X59" s="109">
        <f t="shared" si="29"/>
        <v>4</v>
      </c>
      <c r="Y59" s="109">
        <f t="shared" si="29"/>
        <v>5</v>
      </c>
      <c r="Z59" s="110" t="b">
        <f t="shared" si="30"/>
        <v>1</v>
      </c>
      <c r="AA59" s="153"/>
      <c r="AB59"/>
      <c r="AC59" s="284"/>
      <c r="CA59" s="7"/>
    </row>
    <row r="60" spans="1:79" ht="12.75">
      <c r="A60" s="97">
        <v>8</v>
      </c>
      <c r="B60" s="73" t="s">
        <v>30</v>
      </c>
      <c r="C60" s="162">
        <f t="shared" si="25"/>
      </c>
      <c r="D60" s="73" t="s">
        <v>79</v>
      </c>
      <c r="E60" s="269" t="e">
        <f t="shared" si="26"/>
        <v>#VALUE!</v>
      </c>
      <c r="F60" s="74" t="s">
        <v>80</v>
      </c>
      <c r="G60" s="272" t="e">
        <f t="shared" si="27"/>
        <v>#VALUE!</v>
      </c>
      <c r="H60" s="74" t="s">
        <v>80</v>
      </c>
      <c r="I60" s="269" t="e">
        <f t="shared" si="28"/>
        <v>#VALUE!</v>
      </c>
      <c r="J60" s="74" t="s">
        <v>81</v>
      </c>
      <c r="K60" s="158" t="e">
        <f t="shared" si="0"/>
        <v>#VALUE!</v>
      </c>
      <c r="L60" s="164">
        <v>12.19</v>
      </c>
      <c r="M60" s="73" t="s">
        <v>30</v>
      </c>
      <c r="N60" s="97">
        <v>1</v>
      </c>
      <c r="O60" s="73" t="s">
        <v>79</v>
      </c>
      <c r="P60" s="160">
        <f>IF(Istruzioni!$E$7&lt;&gt;"",CostoUnitMatPrima*Qtà,"")</f>
      </c>
      <c r="Q60" s="72" t="s">
        <v>44</v>
      </c>
      <c r="R60" s="272" t="e">
        <f>IF(Z60,P60*(-S60*Valori!$B$14/100+1)*(T60*Valori!$C$14/100+1)*(U60*Valori!$D$14/100+1)+K60,"ERRORE")</f>
        <v>#VALUE!</v>
      </c>
      <c r="S60" s="94">
        <v>1</v>
      </c>
      <c r="T60" s="98">
        <v>5</v>
      </c>
      <c r="U60" s="93">
        <v>5</v>
      </c>
      <c r="V60" s="160" t="e">
        <f>IF(Z60,R60*(1&amp;","&amp;Valori!$B$7),"ERRORE")</f>
        <v>#VALUE!</v>
      </c>
      <c r="W60" s="109">
        <f t="shared" si="29"/>
        <v>1</v>
      </c>
      <c r="X60" s="109">
        <f t="shared" si="29"/>
        <v>5</v>
      </c>
      <c r="Y60" s="109">
        <f t="shared" si="29"/>
        <v>5</v>
      </c>
      <c r="Z60" s="110" t="b">
        <f t="shared" si="30"/>
        <v>1</v>
      </c>
      <c r="AA60" s="153"/>
      <c r="AB60"/>
      <c r="AC60" s="284"/>
      <c r="CA60" s="7"/>
    </row>
    <row r="61" spans="1:79" ht="12.75">
      <c r="A61" s="97">
        <v>5</v>
      </c>
      <c r="B61" s="73" t="s">
        <v>30</v>
      </c>
      <c r="C61" s="162">
        <f t="shared" si="25"/>
      </c>
      <c r="D61" s="73" t="s">
        <v>79</v>
      </c>
      <c r="E61" s="269" t="e">
        <f t="shared" si="26"/>
        <v>#VALUE!</v>
      </c>
      <c r="F61" s="74" t="s">
        <v>80</v>
      </c>
      <c r="G61" s="272" t="e">
        <f t="shared" si="27"/>
        <v>#VALUE!</v>
      </c>
      <c r="H61" s="74" t="s">
        <v>80</v>
      </c>
      <c r="I61" s="269" t="e">
        <f t="shared" si="28"/>
        <v>#VALUE!</v>
      </c>
      <c r="J61" s="74" t="s">
        <v>81</v>
      </c>
      <c r="K61" s="158" t="e">
        <f t="shared" si="0"/>
        <v>#VALUE!</v>
      </c>
      <c r="L61" s="164">
        <v>3.41</v>
      </c>
      <c r="M61" s="73" t="s">
        <v>30</v>
      </c>
      <c r="N61" s="97">
        <v>1</v>
      </c>
      <c r="O61" s="73" t="s">
        <v>79</v>
      </c>
      <c r="P61" s="160">
        <f>IF(Istruzioni!$E$7&lt;&gt;"",CostoUnitMatPrima*Qtà,"")</f>
      </c>
      <c r="Q61" s="72" t="s">
        <v>45</v>
      </c>
      <c r="R61" s="272" t="e">
        <f>IF(Z61,P61*(-S61*Valori!$B$14/100+1)*(T61*Valori!$C$14/100+1)*(U61*Valori!$D$14/100+1)+K61,"ERRORE")</f>
        <v>#VALUE!</v>
      </c>
      <c r="S61" s="94">
        <v>2</v>
      </c>
      <c r="T61" s="98">
        <v>3</v>
      </c>
      <c r="U61" s="93">
        <v>4</v>
      </c>
      <c r="V61" s="160" t="e">
        <f>IF(Z61,R61*(1&amp;","&amp;Valori!$B$7),"ERRORE")</f>
        <v>#VALUE!</v>
      </c>
      <c r="W61" s="109">
        <f t="shared" si="29"/>
        <v>2</v>
      </c>
      <c r="X61" s="109">
        <f t="shared" si="29"/>
        <v>3</v>
      </c>
      <c r="Y61" s="109">
        <f t="shared" si="29"/>
        <v>4</v>
      </c>
      <c r="Z61" s="110" t="b">
        <f t="shared" si="30"/>
        <v>1</v>
      </c>
      <c r="AA61" s="153"/>
      <c r="AB61"/>
      <c r="AC61" s="284"/>
      <c r="CA61" s="7"/>
    </row>
    <row r="62" spans="1:79" ht="12.75">
      <c r="A62" s="97">
        <v>6</v>
      </c>
      <c r="B62" s="73" t="s">
        <v>30</v>
      </c>
      <c r="C62" s="162">
        <f t="shared" si="25"/>
      </c>
      <c r="D62" s="73" t="s">
        <v>79</v>
      </c>
      <c r="E62" s="269" t="e">
        <f t="shared" si="26"/>
        <v>#VALUE!</v>
      </c>
      <c r="F62" s="74" t="s">
        <v>80</v>
      </c>
      <c r="G62" s="272" t="e">
        <f t="shared" si="27"/>
        <v>#VALUE!</v>
      </c>
      <c r="H62" s="74" t="s">
        <v>80</v>
      </c>
      <c r="I62" s="269" t="e">
        <f t="shared" si="28"/>
        <v>#VALUE!</v>
      </c>
      <c r="J62" s="74" t="s">
        <v>81</v>
      </c>
      <c r="K62" s="158" t="e">
        <f t="shared" si="0"/>
        <v>#VALUE!</v>
      </c>
      <c r="L62" s="164">
        <v>5.29</v>
      </c>
      <c r="M62" s="73" t="s">
        <v>30</v>
      </c>
      <c r="N62" s="97">
        <v>1</v>
      </c>
      <c r="O62" s="73" t="s">
        <v>79</v>
      </c>
      <c r="P62" s="160">
        <f>IF(Istruzioni!$E$7&lt;&gt;"",CostoUnitMatPrima*Qtà,"")</f>
      </c>
      <c r="Q62" s="72" t="s">
        <v>46</v>
      </c>
      <c r="R62" s="272" t="e">
        <f>IF(Z62,P62*(-S62*Valori!$B$14/100+1)*(T62*Valori!$C$14/100+1)*(U62*Valori!$D$14/100+1)+K62,"ERRORE")</f>
        <v>#VALUE!</v>
      </c>
      <c r="S62" s="94">
        <v>2</v>
      </c>
      <c r="T62" s="98">
        <v>4</v>
      </c>
      <c r="U62" s="93">
        <v>4</v>
      </c>
      <c r="V62" s="160" t="e">
        <f>IF(Z62,R62*(1&amp;","&amp;Valori!$B$7),"ERRORE")</f>
        <v>#VALUE!</v>
      </c>
      <c r="W62" s="109">
        <f t="shared" si="29"/>
        <v>2</v>
      </c>
      <c r="X62" s="109">
        <f t="shared" si="29"/>
        <v>4</v>
      </c>
      <c r="Y62" s="109">
        <f t="shared" si="29"/>
        <v>4</v>
      </c>
      <c r="Z62" s="110" t="b">
        <f t="shared" si="30"/>
        <v>1</v>
      </c>
      <c r="AA62" s="153"/>
      <c r="AB62"/>
      <c r="AC62" s="284"/>
      <c r="CA62" s="7"/>
    </row>
    <row r="63" spans="1:79" ht="12.75">
      <c r="A63" s="97">
        <v>7</v>
      </c>
      <c r="B63" s="73" t="s">
        <v>30</v>
      </c>
      <c r="C63" s="162">
        <f t="shared" si="25"/>
      </c>
      <c r="D63" s="73" t="s">
        <v>79</v>
      </c>
      <c r="E63" s="269" t="e">
        <f t="shared" si="26"/>
        <v>#VALUE!</v>
      </c>
      <c r="F63" s="74" t="s">
        <v>80</v>
      </c>
      <c r="G63" s="272" t="e">
        <f t="shared" si="27"/>
        <v>#VALUE!</v>
      </c>
      <c r="H63" s="74" t="s">
        <v>80</v>
      </c>
      <c r="I63" s="269" t="e">
        <f t="shared" si="28"/>
        <v>#VALUE!</v>
      </c>
      <c r="J63" s="74" t="s">
        <v>81</v>
      </c>
      <c r="K63" s="158" t="e">
        <f t="shared" si="0"/>
        <v>#VALUE!</v>
      </c>
      <c r="L63" s="164">
        <v>5.29</v>
      </c>
      <c r="M63" s="73" t="s">
        <v>30</v>
      </c>
      <c r="N63" s="97">
        <v>1</v>
      </c>
      <c r="O63" s="73" t="s">
        <v>79</v>
      </c>
      <c r="P63" s="160">
        <f>IF(Istruzioni!$E$7&lt;&gt;"",CostoUnitMatPrima*Qtà,"")</f>
      </c>
      <c r="Q63" s="72" t="s">
        <v>47</v>
      </c>
      <c r="R63" s="272" t="e">
        <f>IF(Z63,P63*(-S63*Valori!$B$14/100+1)*(T63*Valori!$C$14/100+1)*(U63*Valori!$D$14/100+1)+K63,"ERRORE")</f>
        <v>#VALUE!</v>
      </c>
      <c r="S63" s="94">
        <v>2</v>
      </c>
      <c r="T63" s="98">
        <v>4</v>
      </c>
      <c r="U63" s="93">
        <v>4</v>
      </c>
      <c r="V63" s="160" t="e">
        <f>IF(Z63,R63*(1&amp;","&amp;Valori!$B$7),"ERRORE")</f>
        <v>#VALUE!</v>
      </c>
      <c r="W63" s="109">
        <f t="shared" si="29"/>
        <v>2</v>
      </c>
      <c r="X63" s="109">
        <f t="shared" si="29"/>
        <v>4</v>
      </c>
      <c r="Y63" s="109">
        <f t="shared" si="29"/>
        <v>4</v>
      </c>
      <c r="Z63" s="110" t="b">
        <f t="shared" si="30"/>
        <v>1</v>
      </c>
      <c r="AA63" s="153"/>
      <c r="AB63"/>
      <c r="AC63" s="284"/>
      <c r="CA63" s="7"/>
    </row>
    <row r="64" spans="1:79" ht="12.75">
      <c r="A64" s="97">
        <v>8</v>
      </c>
      <c r="B64" s="73" t="s">
        <v>30</v>
      </c>
      <c r="C64" s="162">
        <f t="shared" si="25"/>
      </c>
      <c r="D64" s="73" t="s">
        <v>79</v>
      </c>
      <c r="E64" s="269" t="e">
        <f t="shared" si="26"/>
        <v>#VALUE!</v>
      </c>
      <c r="F64" s="74" t="s">
        <v>80</v>
      </c>
      <c r="G64" s="272" t="e">
        <f t="shared" si="27"/>
        <v>#VALUE!</v>
      </c>
      <c r="H64" s="74" t="s">
        <v>80</v>
      </c>
      <c r="I64" s="269" t="e">
        <f t="shared" si="28"/>
        <v>#VALUE!</v>
      </c>
      <c r="J64" s="74" t="s">
        <v>81</v>
      </c>
      <c r="K64" s="158" t="e">
        <f t="shared" si="0"/>
        <v>#VALUE!</v>
      </c>
      <c r="L64" s="164">
        <v>13.81</v>
      </c>
      <c r="M64" s="73" t="s">
        <v>30</v>
      </c>
      <c r="N64" s="97">
        <v>1</v>
      </c>
      <c r="O64" s="73" t="s">
        <v>79</v>
      </c>
      <c r="P64" s="160">
        <f>IF(Istruzioni!$E$7&lt;&gt;"",CostoUnitMatPrima*Qtà,"")</f>
      </c>
      <c r="Q64" s="72" t="s">
        <v>48</v>
      </c>
      <c r="R64" s="272" t="e">
        <f>IF(Z64,P64*(-S64*Valori!$B$14/100+1)*(T64*Valori!$C$14/100+1)*(U64*Valori!$D$14/100+1)+K64,"ERRORE")</f>
        <v>#VALUE!</v>
      </c>
      <c r="S64" s="94">
        <v>2</v>
      </c>
      <c r="T64" s="98">
        <v>5</v>
      </c>
      <c r="U64" s="93">
        <v>5</v>
      </c>
      <c r="V64" s="160" t="e">
        <f>IF(Z64,R64*(1&amp;","&amp;Valori!$B$7),"ERRORE")</f>
        <v>#VALUE!</v>
      </c>
      <c r="W64" s="109">
        <f t="shared" si="29"/>
        <v>2</v>
      </c>
      <c r="X64" s="109">
        <f t="shared" si="29"/>
        <v>5</v>
      </c>
      <c r="Y64" s="109">
        <f t="shared" si="29"/>
        <v>5</v>
      </c>
      <c r="Z64" s="110" t="b">
        <f t="shared" si="30"/>
        <v>1</v>
      </c>
      <c r="AA64" s="153"/>
      <c r="AB64"/>
      <c r="AC64" s="284"/>
      <c r="CA64" s="7"/>
    </row>
    <row r="65" spans="1:79" ht="12.75">
      <c r="A65" s="97">
        <v>8</v>
      </c>
      <c r="B65" s="73" t="s">
        <v>30</v>
      </c>
      <c r="C65" s="162">
        <f t="shared" si="25"/>
      </c>
      <c r="D65" s="73" t="s">
        <v>79</v>
      </c>
      <c r="E65" s="269" t="e">
        <f t="shared" si="26"/>
        <v>#VALUE!</v>
      </c>
      <c r="F65" s="74" t="s">
        <v>80</v>
      </c>
      <c r="G65" s="272" t="e">
        <f t="shared" si="27"/>
        <v>#VALUE!</v>
      </c>
      <c r="H65" s="74" t="s">
        <v>80</v>
      </c>
      <c r="I65" s="269" t="e">
        <f t="shared" si="28"/>
        <v>#VALUE!</v>
      </c>
      <c r="J65" s="74" t="s">
        <v>81</v>
      </c>
      <c r="K65" s="158" t="e">
        <f t="shared" si="0"/>
        <v>#VALUE!</v>
      </c>
      <c r="L65" s="164">
        <v>17.09</v>
      </c>
      <c r="M65" s="73" t="s">
        <v>30</v>
      </c>
      <c r="N65" s="97">
        <v>1</v>
      </c>
      <c r="O65" s="73" t="s">
        <v>79</v>
      </c>
      <c r="P65" s="160">
        <f>IF(Istruzioni!$E$7&lt;&gt;"",CostoUnitMatPrima*Qtà,"")</f>
      </c>
      <c r="Q65" s="72" t="s">
        <v>96</v>
      </c>
      <c r="R65" s="272" t="e">
        <f>IF(Z65,P65*(-S65*Valori!$B$14/100+1)*(T65*Valori!$C$14/100+1)*(U65*Valori!$D$14/100+1)+K65,"ERRORE")</f>
        <v>#VALUE!</v>
      </c>
      <c r="S65" s="94">
        <v>2</v>
      </c>
      <c r="T65" s="98">
        <v>5</v>
      </c>
      <c r="U65" s="93">
        <v>5</v>
      </c>
      <c r="V65" s="160" t="e">
        <f>IF(Z65,R65*(1&amp;","&amp;Valori!$B$7),"ERRORE")</f>
        <v>#VALUE!</v>
      </c>
      <c r="W65" s="109">
        <f t="shared" si="29"/>
        <v>2</v>
      </c>
      <c r="X65" s="109">
        <f t="shared" si="29"/>
        <v>5</v>
      </c>
      <c r="Y65" s="109">
        <f t="shared" si="29"/>
        <v>5</v>
      </c>
      <c r="Z65" s="110" t="b">
        <f t="shared" si="30"/>
        <v>1</v>
      </c>
      <c r="AA65" s="153"/>
      <c r="AB65"/>
      <c r="AC65" s="284"/>
      <c r="CA65" s="7"/>
    </row>
    <row r="66" spans="1:79" ht="12.75">
      <c r="A66" s="97">
        <v>8</v>
      </c>
      <c r="B66" s="73" t="s">
        <v>30</v>
      </c>
      <c r="C66" s="162">
        <f t="shared" si="25"/>
      </c>
      <c r="D66" s="73" t="s">
        <v>79</v>
      </c>
      <c r="E66" s="269" t="e">
        <f t="shared" si="26"/>
        <v>#VALUE!</v>
      </c>
      <c r="F66" s="74" t="s">
        <v>80</v>
      </c>
      <c r="G66" s="272" t="e">
        <f t="shared" si="27"/>
        <v>#VALUE!</v>
      </c>
      <c r="H66" s="74" t="s">
        <v>80</v>
      </c>
      <c r="I66" s="269" t="e">
        <f t="shared" si="28"/>
        <v>#VALUE!</v>
      </c>
      <c r="J66" s="74" t="s">
        <v>81</v>
      </c>
      <c r="K66" s="158" t="e">
        <f t="shared" si="0"/>
        <v>#VALUE!</v>
      </c>
      <c r="L66" s="164">
        <v>20.01</v>
      </c>
      <c r="M66" s="73" t="s">
        <v>30</v>
      </c>
      <c r="N66" s="97">
        <v>1</v>
      </c>
      <c r="O66" s="73" t="s">
        <v>79</v>
      </c>
      <c r="P66" s="160">
        <f>IF(Istruzioni!$E$7&lt;&gt;"",CostoUnitMatPrima*Qtà,"")</f>
      </c>
      <c r="Q66" s="72" t="s">
        <v>97</v>
      </c>
      <c r="R66" s="272" t="e">
        <f>IF(Z66,P66*(-S66*Valori!$B$14/100+1)*(T66*Valori!$C$14/100+1)*(U66*Valori!$D$14/100+1)+K66,"ERRORE")</f>
        <v>#VALUE!</v>
      </c>
      <c r="S66" s="94">
        <v>2</v>
      </c>
      <c r="T66" s="98">
        <v>5</v>
      </c>
      <c r="U66" s="93">
        <v>5</v>
      </c>
      <c r="V66" s="160" t="e">
        <f>IF(Z66,R66*(1&amp;","&amp;Valori!$B$7),"ERRORE")</f>
        <v>#VALUE!</v>
      </c>
      <c r="W66" s="109">
        <f t="shared" si="29"/>
        <v>2</v>
      </c>
      <c r="X66" s="109">
        <f t="shared" si="29"/>
        <v>5</v>
      </c>
      <c r="Y66" s="109">
        <f t="shared" si="29"/>
        <v>5</v>
      </c>
      <c r="Z66" s="110" t="b">
        <f t="shared" si="30"/>
        <v>1</v>
      </c>
      <c r="AA66" s="153"/>
      <c r="AB66"/>
      <c r="AC66" s="284"/>
      <c r="CA66" s="7"/>
    </row>
    <row r="67" spans="1:79" ht="12.75">
      <c r="A67" s="97">
        <v>5</v>
      </c>
      <c r="B67" s="73" t="s">
        <v>30</v>
      </c>
      <c r="C67" s="162">
        <f t="shared" si="25"/>
      </c>
      <c r="D67" s="73" t="s">
        <v>79</v>
      </c>
      <c r="E67" s="269" t="e">
        <f t="shared" si="26"/>
        <v>#VALUE!</v>
      </c>
      <c r="F67" s="74" t="s">
        <v>80</v>
      </c>
      <c r="G67" s="272" t="e">
        <f t="shared" si="27"/>
        <v>#VALUE!</v>
      </c>
      <c r="H67" s="74" t="s">
        <v>80</v>
      </c>
      <c r="I67" s="269" t="e">
        <f t="shared" si="28"/>
        <v>#VALUE!</v>
      </c>
      <c r="J67" s="74" t="s">
        <v>81</v>
      </c>
      <c r="K67" s="158" t="e">
        <f t="shared" si="0"/>
        <v>#VALUE!</v>
      </c>
      <c r="L67" s="164">
        <v>5.2</v>
      </c>
      <c r="M67" s="73" t="s">
        <v>30</v>
      </c>
      <c r="N67" s="97">
        <v>1</v>
      </c>
      <c r="O67" s="73" t="s">
        <v>79</v>
      </c>
      <c r="P67" s="160">
        <f>IF(Istruzioni!$E$7&lt;&gt;"",CostoUnitMatPrima*Qtà,"")</f>
      </c>
      <c r="Q67" s="72" t="s">
        <v>98</v>
      </c>
      <c r="R67" s="272" t="e">
        <f>IF(Z67,P67*(-S67*Valori!$B$14/100+1)*(T67*Valori!$C$14/100+1)*(U67*Valori!$D$14/100+1)+K67,"ERRORE")</f>
        <v>#VALUE!</v>
      </c>
      <c r="S67" s="94">
        <v>2</v>
      </c>
      <c r="T67" s="98">
        <v>4</v>
      </c>
      <c r="U67" s="93">
        <v>4</v>
      </c>
      <c r="V67" s="160" t="e">
        <f>IF(Z67,R67*(1&amp;","&amp;Valori!$B$7),"ERRORE")</f>
        <v>#VALUE!</v>
      </c>
      <c r="W67" s="109">
        <f t="shared" si="29"/>
        <v>2</v>
      </c>
      <c r="X67" s="109">
        <f t="shared" si="29"/>
        <v>4</v>
      </c>
      <c r="Y67" s="109">
        <f t="shared" si="29"/>
        <v>4</v>
      </c>
      <c r="Z67" s="110" t="b">
        <f t="shared" si="30"/>
        <v>1</v>
      </c>
      <c r="AA67" s="153"/>
      <c r="AB67"/>
      <c r="AC67" s="284"/>
      <c r="CA67" s="7"/>
    </row>
    <row r="68" spans="1:79" ht="12.75">
      <c r="A68" s="97">
        <v>6</v>
      </c>
      <c r="B68" s="73" t="s">
        <v>30</v>
      </c>
      <c r="C68" s="162">
        <f t="shared" si="25"/>
      </c>
      <c r="D68" s="73" t="s">
        <v>79</v>
      </c>
      <c r="E68" s="269" t="e">
        <f t="shared" si="26"/>
        <v>#VALUE!</v>
      </c>
      <c r="F68" s="74" t="s">
        <v>80</v>
      </c>
      <c r="G68" s="272" t="e">
        <f t="shared" si="27"/>
        <v>#VALUE!</v>
      </c>
      <c r="H68" s="74" t="s">
        <v>80</v>
      </c>
      <c r="I68" s="269" t="e">
        <f t="shared" si="28"/>
        <v>#VALUE!</v>
      </c>
      <c r="J68" s="74" t="s">
        <v>81</v>
      </c>
      <c r="K68" s="158" t="e">
        <f>SUM(E68+G68+I68)</f>
        <v>#VALUE!</v>
      </c>
      <c r="L68" s="164">
        <v>12.09</v>
      </c>
      <c r="M68" s="73" t="s">
        <v>30</v>
      </c>
      <c r="N68" s="97">
        <v>1</v>
      </c>
      <c r="O68" s="73" t="s">
        <v>79</v>
      </c>
      <c r="P68" s="160">
        <f>IF(Istruzioni!$E$7&lt;&gt;"",CostoUnitMatPrima*Qtà,"")</f>
      </c>
      <c r="Q68" s="72" t="s">
        <v>99</v>
      </c>
      <c r="R68" s="272" t="e">
        <f>IF(Z68,P68*(-S68*Valori!$B$14/100+1)*(T68*Valori!$C$14/100+1)*(U68*Valori!$D$14/100+1)+K68,"ERRORE")</f>
        <v>#VALUE!</v>
      </c>
      <c r="S68" s="94">
        <v>2</v>
      </c>
      <c r="T68" s="98">
        <v>4</v>
      </c>
      <c r="U68" s="93">
        <v>4</v>
      </c>
      <c r="V68" s="160" t="e">
        <f>IF(Z68,R68*(1&amp;","&amp;Valori!$B$7),"ERRORE")</f>
        <v>#VALUE!</v>
      </c>
      <c r="W68" s="109">
        <f t="shared" si="29"/>
        <v>2</v>
      </c>
      <c r="X68" s="109">
        <f t="shared" si="29"/>
        <v>4</v>
      </c>
      <c r="Y68" s="109">
        <f t="shared" si="29"/>
        <v>4</v>
      </c>
      <c r="Z68" s="110" t="b">
        <f t="shared" si="30"/>
        <v>1</v>
      </c>
      <c r="AA68" s="153"/>
      <c r="AB68"/>
      <c r="AC68" s="284"/>
      <c r="CA68" s="7"/>
    </row>
    <row r="69" spans="1:79" ht="12.75">
      <c r="A69" s="97">
        <v>7</v>
      </c>
      <c r="B69" s="73" t="s">
        <v>30</v>
      </c>
      <c r="C69" s="162">
        <f t="shared" si="25"/>
      </c>
      <c r="D69" s="73" t="s">
        <v>79</v>
      </c>
      <c r="E69" s="269" t="e">
        <f t="shared" si="26"/>
        <v>#VALUE!</v>
      </c>
      <c r="F69" s="74" t="s">
        <v>80</v>
      </c>
      <c r="G69" s="272" t="e">
        <f t="shared" si="27"/>
        <v>#VALUE!</v>
      </c>
      <c r="H69" s="74" t="s">
        <v>80</v>
      </c>
      <c r="I69" s="269" t="e">
        <f t="shared" si="28"/>
        <v>#VALUE!</v>
      </c>
      <c r="J69" s="74" t="s">
        <v>81</v>
      </c>
      <c r="K69" s="158" t="e">
        <f>SUM(E69+G69+I69)</f>
        <v>#VALUE!</v>
      </c>
      <c r="L69" s="164">
        <v>12.09</v>
      </c>
      <c r="M69" s="73" t="s">
        <v>30</v>
      </c>
      <c r="N69" s="97">
        <v>1</v>
      </c>
      <c r="O69" s="73" t="s">
        <v>79</v>
      </c>
      <c r="P69" s="160">
        <f>IF(Istruzioni!$E$7&lt;&gt;"",CostoUnitMatPrima*Qtà,"")</f>
      </c>
      <c r="Q69" s="72" t="s">
        <v>100</v>
      </c>
      <c r="R69" s="272" t="e">
        <f>IF(Z69,P69*(-S69*Valori!$B$14/100+1)*(T69*Valori!$C$14/100+1)*(U69*Valori!$D$14/100+1)+K69,"ERRORE")</f>
        <v>#VALUE!</v>
      </c>
      <c r="S69" s="94">
        <v>2</v>
      </c>
      <c r="T69" s="98">
        <v>4</v>
      </c>
      <c r="U69" s="93">
        <v>4</v>
      </c>
      <c r="V69" s="160" t="e">
        <f>IF(Z69,R69*(1&amp;","&amp;Valori!$B$7),"ERRORE")</f>
        <v>#VALUE!</v>
      </c>
      <c r="W69" s="109">
        <f t="shared" si="29"/>
        <v>2</v>
      </c>
      <c r="X69" s="109">
        <f t="shared" si="29"/>
        <v>4</v>
      </c>
      <c r="Y69" s="109">
        <f t="shared" si="29"/>
        <v>4</v>
      </c>
      <c r="Z69" s="110" t="b">
        <f t="shared" si="30"/>
        <v>1</v>
      </c>
      <c r="AA69" s="153"/>
      <c r="AB69"/>
      <c r="AC69" s="284"/>
      <c r="CA69" s="7"/>
    </row>
    <row r="70" spans="1:79" ht="12.75">
      <c r="A70" s="97">
        <v>8</v>
      </c>
      <c r="B70" s="73" t="s">
        <v>30</v>
      </c>
      <c r="C70" s="162">
        <f t="shared" si="25"/>
      </c>
      <c r="D70" s="73" t="s">
        <v>79</v>
      </c>
      <c r="E70" s="269" t="e">
        <f t="shared" si="26"/>
        <v>#VALUE!</v>
      </c>
      <c r="F70" s="74" t="s">
        <v>80</v>
      </c>
      <c r="G70" s="272" t="e">
        <f t="shared" si="27"/>
        <v>#VALUE!</v>
      </c>
      <c r="H70" s="74" t="s">
        <v>80</v>
      </c>
      <c r="I70" s="269" t="e">
        <f t="shared" si="28"/>
        <v>#VALUE!</v>
      </c>
      <c r="J70" s="74" t="s">
        <v>81</v>
      </c>
      <c r="K70" s="158" t="e">
        <f>SUM(E70+G70+I70)</f>
        <v>#VALUE!</v>
      </c>
      <c r="L70" s="164">
        <v>15.91</v>
      </c>
      <c r="M70" s="73" t="s">
        <v>30</v>
      </c>
      <c r="N70" s="97">
        <v>1</v>
      </c>
      <c r="O70" s="73" t="s">
        <v>79</v>
      </c>
      <c r="P70" s="160">
        <f>IF(Istruzioni!$E$7&lt;&gt;"",CostoUnitMatPrima*Qtà,"")</f>
      </c>
      <c r="Q70" s="72" t="s">
        <v>11</v>
      </c>
      <c r="R70" s="272" t="e">
        <f>IF(Z70,P70*(-S70*Valori!$B$14/100+1)*(T70*Valori!$C$14/100+1)*(U70*Valori!$D$14/100+1)+K70,"ERRORE")</f>
        <v>#VALUE!</v>
      </c>
      <c r="S70" s="94">
        <v>2</v>
      </c>
      <c r="T70" s="98">
        <v>5</v>
      </c>
      <c r="U70" s="93">
        <v>5</v>
      </c>
      <c r="V70" s="160" t="e">
        <f>IF(Z70,R70*(1&amp;","&amp;Valori!$B$7),"ERRORE")</f>
        <v>#VALUE!</v>
      </c>
      <c r="W70" s="109">
        <f t="shared" si="29"/>
        <v>2</v>
      </c>
      <c r="X70" s="109">
        <f t="shared" si="29"/>
        <v>5</v>
      </c>
      <c r="Y70" s="109">
        <f t="shared" si="29"/>
        <v>5</v>
      </c>
      <c r="Z70" s="110" t="b">
        <f t="shared" si="30"/>
        <v>1</v>
      </c>
      <c r="AA70" s="153"/>
      <c r="AB70"/>
      <c r="AC70" s="284"/>
      <c r="CA70" s="7"/>
    </row>
    <row r="71" spans="1:79" ht="12.75">
      <c r="A71" s="97">
        <v>8</v>
      </c>
      <c r="B71" s="73" t="s">
        <v>30</v>
      </c>
      <c r="C71" s="162">
        <f>CostoMinuto</f>
      </c>
      <c r="D71" s="73" t="s">
        <v>79</v>
      </c>
      <c r="E71" s="269" t="e">
        <f t="shared" si="26"/>
        <v>#VALUE!</v>
      </c>
      <c r="F71" s="74" t="s">
        <v>80</v>
      </c>
      <c r="G71" s="272" t="e">
        <f t="shared" si="27"/>
        <v>#VALUE!</v>
      </c>
      <c r="H71" s="74" t="s">
        <v>80</v>
      </c>
      <c r="I71" s="269" t="e">
        <f t="shared" si="28"/>
        <v>#VALUE!</v>
      </c>
      <c r="J71" s="74" t="s">
        <v>81</v>
      </c>
      <c r="K71" s="158" t="e">
        <f>SUM(E71+G71+I71)</f>
        <v>#VALUE!</v>
      </c>
      <c r="L71" s="164">
        <v>21.99</v>
      </c>
      <c r="M71" s="73" t="s">
        <v>30</v>
      </c>
      <c r="N71" s="97">
        <v>1</v>
      </c>
      <c r="O71" s="73" t="s">
        <v>79</v>
      </c>
      <c r="P71" s="160">
        <f>IF(Istruzioni!$E$7&lt;&gt;"",CostoUnitMatPrima*Qtà,"")</f>
      </c>
      <c r="Q71" s="72" t="s">
        <v>12</v>
      </c>
      <c r="R71" s="272" t="e">
        <f>IF(Z71,P71*(-S71*Valori!$B$14/100+1)*(T71*Valori!$C$14/100+1)*(U71*Valori!$D$14/100+1)+K71,"ERRORE")</f>
        <v>#VALUE!</v>
      </c>
      <c r="S71" s="94">
        <v>2</v>
      </c>
      <c r="T71" s="98">
        <v>5</v>
      </c>
      <c r="U71" s="93">
        <v>5</v>
      </c>
      <c r="V71" s="160" t="e">
        <f>IF(Z71,R71*(1&amp;","&amp;Valori!$B$7),"ERRORE")</f>
        <v>#VALUE!</v>
      </c>
      <c r="W71" s="109">
        <f aca="true" t="shared" si="31" ref="W71:Y86">IF(S71&lt;=0,"errore",IF(S71&gt;5,"errore",S71))</f>
        <v>2</v>
      </c>
      <c r="X71" s="109">
        <f t="shared" si="31"/>
        <v>5</v>
      </c>
      <c r="Y71" s="109">
        <f t="shared" si="31"/>
        <v>5</v>
      </c>
      <c r="Z71" s="110" t="b">
        <f t="shared" si="30"/>
        <v>1</v>
      </c>
      <c r="AA71" s="153"/>
      <c r="AB71"/>
      <c r="AC71" s="284"/>
      <c r="CA71" s="7"/>
    </row>
    <row r="72" spans="1:79" ht="12.75">
      <c r="A72" s="97">
        <v>8</v>
      </c>
      <c r="B72" s="73" t="s">
        <v>30</v>
      </c>
      <c r="C72" s="162">
        <f>CostoMinuto</f>
      </c>
      <c r="D72" s="73" t="s">
        <v>79</v>
      </c>
      <c r="E72" s="269" t="e">
        <f t="shared" si="26"/>
        <v>#VALUE!</v>
      </c>
      <c r="F72" s="74" t="s">
        <v>80</v>
      </c>
      <c r="G72" s="272" t="e">
        <f t="shared" si="27"/>
        <v>#VALUE!</v>
      </c>
      <c r="H72" s="74" t="s">
        <v>80</v>
      </c>
      <c r="I72" s="269" t="e">
        <f t="shared" si="28"/>
        <v>#VALUE!</v>
      </c>
      <c r="J72" s="74" t="s">
        <v>81</v>
      </c>
      <c r="K72" s="158" t="e">
        <f>SUM(E72+G72+I72)</f>
        <v>#VALUE!</v>
      </c>
      <c r="L72" s="164">
        <v>28.31</v>
      </c>
      <c r="M72" s="73" t="s">
        <v>30</v>
      </c>
      <c r="N72" s="97">
        <v>1</v>
      </c>
      <c r="O72" s="73" t="s">
        <v>79</v>
      </c>
      <c r="P72" s="160">
        <f>IF(Istruzioni!$E$7&lt;&gt;"",CostoUnitMatPrima*Qtà,"")</f>
      </c>
      <c r="Q72" s="72" t="s">
        <v>13</v>
      </c>
      <c r="R72" s="272" t="e">
        <f>IF(Z72,P72*(-S72*Valori!$B$14/100+1)*(T72*Valori!$C$14/100+1)*(U72*Valori!$D$14/100+1)+K72,"ERRORE")</f>
        <v>#VALUE!</v>
      </c>
      <c r="S72" s="94">
        <v>2</v>
      </c>
      <c r="T72" s="98">
        <v>5</v>
      </c>
      <c r="U72" s="93">
        <v>5</v>
      </c>
      <c r="V72" s="160" t="e">
        <f>IF(Z72,R72*(1&amp;","&amp;Valori!$B$7),"ERRORE")</f>
        <v>#VALUE!</v>
      </c>
      <c r="W72" s="109">
        <f t="shared" si="31"/>
        <v>2</v>
      </c>
      <c r="X72" s="109">
        <f t="shared" si="31"/>
        <v>5</v>
      </c>
      <c r="Y72" s="109">
        <f t="shared" si="31"/>
        <v>5</v>
      </c>
      <c r="Z72" s="110" t="b">
        <f t="shared" si="30"/>
        <v>1</v>
      </c>
      <c r="AA72" s="153"/>
      <c r="AB72"/>
      <c r="AC72" s="284"/>
      <c r="CA72" s="7"/>
    </row>
    <row r="73" spans="1:79" ht="12.75">
      <c r="A73" s="117"/>
      <c r="B73" s="30"/>
      <c r="C73" s="37"/>
      <c r="D73" s="30"/>
      <c r="E73" s="271"/>
      <c r="F73" s="35"/>
      <c r="G73" s="271"/>
      <c r="H73" s="35"/>
      <c r="I73" s="271"/>
      <c r="J73" s="35"/>
      <c r="K73" s="11"/>
      <c r="L73" s="20"/>
      <c r="M73" s="30"/>
      <c r="N73" s="21"/>
      <c r="O73" s="30"/>
      <c r="P73" s="11"/>
      <c r="Q73" s="17" t="s">
        <v>14</v>
      </c>
      <c r="R73" s="271"/>
      <c r="S73" s="22"/>
      <c r="T73" s="22"/>
      <c r="U73" s="22"/>
      <c r="V73" s="150">
        <f>IF(Istruzioni!$E$7&lt;&gt;"",Istruzioni!$G$12,"")</f>
      </c>
      <c r="W73" s="109"/>
      <c r="X73" s="109"/>
      <c r="Y73" s="109"/>
      <c r="Z73" s="109"/>
      <c r="AA73" s="150"/>
      <c r="AB73"/>
      <c r="AC73" s="284"/>
      <c r="CA73" s="11"/>
    </row>
    <row r="74" spans="1:79" ht="12.75">
      <c r="A74" s="97">
        <v>5</v>
      </c>
      <c r="B74" s="73" t="s">
        <v>30</v>
      </c>
      <c r="C74" s="162">
        <f aca="true" t="shared" si="32" ref="C74:C88">CostoMinuto</f>
      </c>
      <c r="D74" s="73" t="s">
        <v>79</v>
      </c>
      <c r="E74" s="269" t="e">
        <f aca="true" t="shared" si="33" ref="E74:E88">MinutiLavoro*CostoMinuto</f>
        <v>#VALUE!</v>
      </c>
      <c r="F74" s="74" t="s">
        <v>80</v>
      </c>
      <c r="G74" s="272" t="e">
        <f aca="true" t="shared" si="34" ref="G74:G88">Costi_Variabili/Min_Lavoro_Anno*A74</f>
        <v>#VALUE!</v>
      </c>
      <c r="H74" s="74" t="s">
        <v>80</v>
      </c>
      <c r="I74" s="269" t="e">
        <f aca="true" t="shared" si="35" ref="I74:I88">Costi_Fissi/Min_Lavoro_Anno*A74</f>
        <v>#VALUE!</v>
      </c>
      <c r="J74" s="74" t="s">
        <v>81</v>
      </c>
      <c r="K74" s="158" t="e">
        <f aca="true" t="shared" si="36" ref="K74:K88">SUM(E74+G74+I74)</f>
        <v>#VALUE!</v>
      </c>
      <c r="L74" s="164">
        <v>2.27</v>
      </c>
      <c r="M74" s="73" t="s">
        <v>30</v>
      </c>
      <c r="N74" s="97">
        <v>1</v>
      </c>
      <c r="O74" s="73" t="s">
        <v>79</v>
      </c>
      <c r="P74" s="160">
        <f>IF(Istruzioni!$E$7&lt;&gt;"",CostoUnitMatPrima*Qtà,"")</f>
      </c>
      <c r="Q74" s="72" t="s">
        <v>15</v>
      </c>
      <c r="R74" s="272" t="e">
        <f>IF(Z74,P74*(-S74*Valori!$B$14/100+1)*(T74*Valori!$C$14/100+1)*(U74*Valori!$D$14/100+1)+K74,"ERRORE")</f>
        <v>#VALUE!</v>
      </c>
      <c r="S74" s="94">
        <v>1</v>
      </c>
      <c r="T74" s="98">
        <v>2</v>
      </c>
      <c r="U74" s="93">
        <v>2</v>
      </c>
      <c r="V74" s="160" t="e">
        <f>IF(Z74,R74*(1&amp;","&amp;Valori!$B$7),"ERRORE")</f>
        <v>#VALUE!</v>
      </c>
      <c r="W74" s="109">
        <f t="shared" si="31"/>
        <v>1</v>
      </c>
      <c r="X74" s="109">
        <f t="shared" si="31"/>
        <v>2</v>
      </c>
      <c r="Y74" s="109">
        <f t="shared" si="31"/>
        <v>2</v>
      </c>
      <c r="Z74" s="110" t="b">
        <f aca="true" t="shared" si="37" ref="Z74:Z88">ISNUMBER(W74+X74+Y74)</f>
        <v>1</v>
      </c>
      <c r="AA74" s="152"/>
      <c r="AB74"/>
      <c r="AC74" s="284"/>
      <c r="CA74" s="7"/>
    </row>
    <row r="75" spans="1:79" ht="12.75">
      <c r="A75" s="97">
        <v>5</v>
      </c>
      <c r="B75" s="73" t="s">
        <v>30</v>
      </c>
      <c r="C75" s="162">
        <f t="shared" si="32"/>
      </c>
      <c r="D75" s="73" t="s">
        <v>79</v>
      </c>
      <c r="E75" s="269" t="e">
        <f t="shared" si="33"/>
        <v>#VALUE!</v>
      </c>
      <c r="F75" s="74" t="s">
        <v>80</v>
      </c>
      <c r="G75" s="272" t="e">
        <f t="shared" si="34"/>
        <v>#VALUE!</v>
      </c>
      <c r="H75" s="74" t="s">
        <v>80</v>
      </c>
      <c r="I75" s="269" t="e">
        <f t="shared" si="35"/>
        <v>#VALUE!</v>
      </c>
      <c r="J75" s="74" t="s">
        <v>81</v>
      </c>
      <c r="K75" s="158" t="e">
        <f t="shared" si="36"/>
        <v>#VALUE!</v>
      </c>
      <c r="L75" s="164">
        <v>3.39</v>
      </c>
      <c r="M75" s="73" t="s">
        <v>30</v>
      </c>
      <c r="N75" s="97">
        <v>1</v>
      </c>
      <c r="O75" s="73" t="s">
        <v>79</v>
      </c>
      <c r="P75" s="160">
        <f>IF(Istruzioni!$E$7&lt;&gt;"",CostoUnitMatPrima*Qtà,"")</f>
      </c>
      <c r="Q75" s="72" t="s">
        <v>106</v>
      </c>
      <c r="R75" s="272" t="e">
        <f>IF(Z75,P75*(-S75*Valori!$B$14/100+1)*(T75*Valori!$C$14/100+1)*(U75*Valori!$D$14/100+1)+K75,"ERRORE")</f>
        <v>#VALUE!</v>
      </c>
      <c r="S75" s="94">
        <v>1</v>
      </c>
      <c r="T75" s="98">
        <v>2</v>
      </c>
      <c r="U75" s="93">
        <v>2</v>
      </c>
      <c r="V75" s="160" t="e">
        <f>IF(Z75,R75*(1&amp;","&amp;Valori!$B$7),"ERRORE")</f>
        <v>#VALUE!</v>
      </c>
      <c r="W75" s="109">
        <f t="shared" si="31"/>
        <v>1</v>
      </c>
      <c r="X75" s="109">
        <f t="shared" si="31"/>
        <v>2</v>
      </c>
      <c r="Y75" s="109">
        <f t="shared" si="31"/>
        <v>2</v>
      </c>
      <c r="Z75" s="110" t="b">
        <f t="shared" si="37"/>
        <v>1</v>
      </c>
      <c r="AA75" s="153"/>
      <c r="AB75"/>
      <c r="AC75" s="284"/>
      <c r="CA75" s="7"/>
    </row>
    <row r="76" spans="1:79" ht="12.75">
      <c r="A76" s="97">
        <v>5</v>
      </c>
      <c r="B76" s="73" t="s">
        <v>30</v>
      </c>
      <c r="C76" s="162">
        <f t="shared" si="32"/>
      </c>
      <c r="D76" s="73" t="s">
        <v>79</v>
      </c>
      <c r="E76" s="269" t="e">
        <f t="shared" si="33"/>
        <v>#VALUE!</v>
      </c>
      <c r="F76" s="74" t="s">
        <v>80</v>
      </c>
      <c r="G76" s="272" t="e">
        <f t="shared" si="34"/>
        <v>#VALUE!</v>
      </c>
      <c r="H76" s="74" t="s">
        <v>80</v>
      </c>
      <c r="I76" s="269" t="e">
        <f t="shared" si="35"/>
        <v>#VALUE!</v>
      </c>
      <c r="J76" s="74" t="s">
        <v>81</v>
      </c>
      <c r="K76" s="158" t="e">
        <f t="shared" si="36"/>
        <v>#VALUE!</v>
      </c>
      <c r="L76" s="164">
        <v>10.19</v>
      </c>
      <c r="M76" s="73" t="s">
        <v>30</v>
      </c>
      <c r="N76" s="97">
        <v>1</v>
      </c>
      <c r="O76" s="73" t="s">
        <v>79</v>
      </c>
      <c r="P76" s="160">
        <f>IF(Istruzioni!$E$7&lt;&gt;"",CostoUnitMatPrima*Qtà,"")</f>
      </c>
      <c r="Q76" s="72" t="s">
        <v>107</v>
      </c>
      <c r="R76" s="272" t="e">
        <f>IF(Z76,P76*(-S76*Valori!$B$14/100+1)*(T76*Valori!$C$14/100+1)*(U76*Valori!$D$14/100+1)+K76,"ERRORE")</f>
        <v>#VALUE!</v>
      </c>
      <c r="S76" s="94">
        <v>1</v>
      </c>
      <c r="T76" s="98">
        <v>2</v>
      </c>
      <c r="U76" s="93">
        <v>2</v>
      </c>
      <c r="V76" s="160" t="e">
        <f>IF(Z76,R76*(1&amp;","&amp;Valori!$B$7),"ERRORE")</f>
        <v>#VALUE!</v>
      </c>
      <c r="W76" s="109">
        <f t="shared" si="31"/>
        <v>1</v>
      </c>
      <c r="X76" s="109">
        <f t="shared" si="31"/>
        <v>2</v>
      </c>
      <c r="Y76" s="109">
        <f t="shared" si="31"/>
        <v>2</v>
      </c>
      <c r="Z76" s="110" t="b">
        <f t="shared" si="37"/>
        <v>1</v>
      </c>
      <c r="AA76" s="153"/>
      <c r="AB76"/>
      <c r="AC76" s="284"/>
      <c r="CA76" s="7"/>
    </row>
    <row r="77" spans="1:79" ht="12.75">
      <c r="A77" s="97">
        <v>5</v>
      </c>
      <c r="B77" s="73" t="s">
        <v>30</v>
      </c>
      <c r="C77" s="162">
        <f t="shared" si="32"/>
      </c>
      <c r="D77" s="73" t="s">
        <v>79</v>
      </c>
      <c r="E77" s="269" t="e">
        <f t="shared" si="33"/>
        <v>#VALUE!</v>
      </c>
      <c r="F77" s="74" t="s">
        <v>80</v>
      </c>
      <c r="G77" s="272" t="e">
        <f t="shared" si="34"/>
        <v>#VALUE!</v>
      </c>
      <c r="H77" s="74" t="s">
        <v>80</v>
      </c>
      <c r="I77" s="269" t="e">
        <f t="shared" si="35"/>
        <v>#VALUE!</v>
      </c>
      <c r="J77" s="74" t="s">
        <v>81</v>
      </c>
      <c r="K77" s="158" t="e">
        <f t="shared" si="36"/>
        <v>#VALUE!</v>
      </c>
      <c r="L77" s="164">
        <v>16.18</v>
      </c>
      <c r="M77" s="73" t="s">
        <v>30</v>
      </c>
      <c r="N77" s="97">
        <v>1</v>
      </c>
      <c r="O77" s="73" t="s">
        <v>79</v>
      </c>
      <c r="P77" s="160">
        <f>IF(Istruzioni!$E$7&lt;&gt;"",CostoUnitMatPrima*Qtà,"")</f>
      </c>
      <c r="Q77" s="72" t="s">
        <v>108</v>
      </c>
      <c r="R77" s="272" t="e">
        <f>IF(Z77,P77*(-S77*Valori!$B$14/100+1)*(T77*Valori!$C$14/100+1)*(U77*Valori!$D$14/100+1)+K77,"ERRORE")</f>
        <v>#VALUE!</v>
      </c>
      <c r="S77" s="94">
        <v>1</v>
      </c>
      <c r="T77" s="98">
        <v>2</v>
      </c>
      <c r="U77" s="93">
        <v>2</v>
      </c>
      <c r="V77" s="160" t="e">
        <f>IF(Z77,R77*(1&amp;","&amp;Valori!$B$7),"ERRORE")</f>
        <v>#VALUE!</v>
      </c>
      <c r="W77" s="109">
        <f t="shared" si="31"/>
        <v>1</v>
      </c>
      <c r="X77" s="109">
        <f t="shared" si="31"/>
        <v>2</v>
      </c>
      <c r="Y77" s="109">
        <f t="shared" si="31"/>
        <v>2</v>
      </c>
      <c r="Z77" s="110" t="b">
        <f t="shared" si="37"/>
        <v>1</v>
      </c>
      <c r="AA77" s="153"/>
      <c r="AB77"/>
      <c r="AC77" s="284"/>
      <c r="CA77" s="7"/>
    </row>
    <row r="78" spans="1:79" ht="12.75">
      <c r="A78" s="97">
        <v>5</v>
      </c>
      <c r="B78" s="73" t="s">
        <v>30</v>
      </c>
      <c r="C78" s="162">
        <f t="shared" si="32"/>
      </c>
      <c r="D78" s="73" t="s">
        <v>79</v>
      </c>
      <c r="E78" s="269" t="e">
        <f t="shared" si="33"/>
        <v>#VALUE!</v>
      </c>
      <c r="F78" s="74" t="s">
        <v>80</v>
      </c>
      <c r="G78" s="272" t="e">
        <f t="shared" si="34"/>
        <v>#VALUE!</v>
      </c>
      <c r="H78" s="74" t="s">
        <v>80</v>
      </c>
      <c r="I78" s="269" t="e">
        <f t="shared" si="35"/>
        <v>#VALUE!</v>
      </c>
      <c r="J78" s="74" t="s">
        <v>81</v>
      </c>
      <c r="K78" s="158" t="e">
        <f t="shared" si="36"/>
        <v>#VALUE!</v>
      </c>
      <c r="L78" s="164">
        <v>22.3</v>
      </c>
      <c r="M78" s="73" t="s">
        <v>30</v>
      </c>
      <c r="N78" s="97">
        <v>1</v>
      </c>
      <c r="O78" s="73" t="s">
        <v>79</v>
      </c>
      <c r="P78" s="160">
        <f>IF(Istruzioni!$E$7&lt;&gt;"",CostoUnitMatPrima*Qtà,"")</f>
      </c>
      <c r="Q78" s="72" t="s">
        <v>109</v>
      </c>
      <c r="R78" s="272" t="e">
        <f>IF(Z78,P78*(-S78*Valori!$B$14/100+1)*(T78*Valori!$C$14/100+1)*(U78*Valori!$D$14/100+1)+K78,"ERRORE")</f>
        <v>#VALUE!</v>
      </c>
      <c r="S78" s="94">
        <v>1</v>
      </c>
      <c r="T78" s="98">
        <v>2</v>
      </c>
      <c r="U78" s="93">
        <v>2</v>
      </c>
      <c r="V78" s="160" t="e">
        <f>IF(Z78,R78*(1&amp;","&amp;Valori!$B$7),"ERRORE")</f>
        <v>#VALUE!</v>
      </c>
      <c r="W78" s="109">
        <f t="shared" si="31"/>
        <v>1</v>
      </c>
      <c r="X78" s="109">
        <f t="shared" si="31"/>
        <v>2</v>
      </c>
      <c r="Y78" s="109">
        <f t="shared" si="31"/>
        <v>2</v>
      </c>
      <c r="Z78" s="110" t="b">
        <f t="shared" si="37"/>
        <v>1</v>
      </c>
      <c r="AA78" s="153"/>
      <c r="AB78"/>
      <c r="AC78" s="284"/>
      <c r="CA78" s="7"/>
    </row>
    <row r="79" spans="1:79" ht="12.75">
      <c r="A79" s="97">
        <v>5</v>
      </c>
      <c r="B79" s="73" t="s">
        <v>30</v>
      </c>
      <c r="C79" s="162">
        <f t="shared" si="32"/>
      </c>
      <c r="D79" s="73" t="s">
        <v>79</v>
      </c>
      <c r="E79" s="269" t="e">
        <f t="shared" si="33"/>
        <v>#VALUE!</v>
      </c>
      <c r="F79" s="74" t="s">
        <v>80</v>
      </c>
      <c r="G79" s="272" t="e">
        <f t="shared" si="34"/>
        <v>#VALUE!</v>
      </c>
      <c r="H79" s="74" t="s">
        <v>80</v>
      </c>
      <c r="I79" s="269" t="e">
        <f t="shared" si="35"/>
        <v>#VALUE!</v>
      </c>
      <c r="J79" s="74" t="s">
        <v>81</v>
      </c>
      <c r="K79" s="158" t="e">
        <f t="shared" si="36"/>
        <v>#VALUE!</v>
      </c>
      <c r="L79" s="164">
        <v>2.14</v>
      </c>
      <c r="M79" s="73" t="s">
        <v>30</v>
      </c>
      <c r="N79" s="97">
        <v>1</v>
      </c>
      <c r="O79" s="73" t="s">
        <v>79</v>
      </c>
      <c r="P79" s="160">
        <f>IF(Istruzioni!$E$7&lt;&gt;"",CostoUnitMatPrima*Qtà,"")</f>
      </c>
      <c r="Q79" s="72" t="s">
        <v>110</v>
      </c>
      <c r="R79" s="272" t="e">
        <f>IF(Z79,P79*(-S79*Valori!$B$14/100+1)*(T79*Valori!$C$14/100+1)*(U79*Valori!$D$14/100+1)+K79,"ERRORE")</f>
        <v>#VALUE!</v>
      </c>
      <c r="S79" s="94">
        <v>2</v>
      </c>
      <c r="T79" s="98">
        <v>2</v>
      </c>
      <c r="U79" s="93">
        <v>2</v>
      </c>
      <c r="V79" s="160" t="e">
        <f>IF(Z79,R79*(1&amp;","&amp;Valori!$B$7),"ERRORE")</f>
        <v>#VALUE!</v>
      </c>
      <c r="W79" s="109">
        <f t="shared" si="31"/>
        <v>2</v>
      </c>
      <c r="X79" s="109">
        <f t="shared" si="31"/>
        <v>2</v>
      </c>
      <c r="Y79" s="109">
        <f t="shared" si="31"/>
        <v>2</v>
      </c>
      <c r="Z79" s="110" t="b">
        <f t="shared" si="37"/>
        <v>1</v>
      </c>
      <c r="AA79" s="153"/>
      <c r="AB79"/>
      <c r="AC79" s="284"/>
      <c r="CA79" s="7"/>
    </row>
    <row r="80" spans="1:79" ht="12.75">
      <c r="A80" s="97">
        <v>5</v>
      </c>
      <c r="B80" s="73" t="s">
        <v>30</v>
      </c>
      <c r="C80" s="162">
        <f t="shared" si="32"/>
      </c>
      <c r="D80" s="73" t="s">
        <v>79</v>
      </c>
      <c r="E80" s="269" t="e">
        <f t="shared" si="33"/>
        <v>#VALUE!</v>
      </c>
      <c r="F80" s="74" t="s">
        <v>80</v>
      </c>
      <c r="G80" s="272" t="e">
        <f t="shared" si="34"/>
        <v>#VALUE!</v>
      </c>
      <c r="H80" s="74" t="s">
        <v>80</v>
      </c>
      <c r="I80" s="269" t="e">
        <f t="shared" si="35"/>
        <v>#VALUE!</v>
      </c>
      <c r="J80" s="74" t="s">
        <v>81</v>
      </c>
      <c r="K80" s="158" t="e">
        <f t="shared" si="36"/>
        <v>#VALUE!</v>
      </c>
      <c r="L80" s="164">
        <v>6.61</v>
      </c>
      <c r="M80" s="73" t="s">
        <v>30</v>
      </c>
      <c r="N80" s="97">
        <v>1</v>
      </c>
      <c r="O80" s="73" t="s">
        <v>79</v>
      </c>
      <c r="P80" s="160">
        <f>IF(Istruzioni!$E$7&lt;&gt;"",CostoUnitMatPrima*Qtà,"")</f>
      </c>
      <c r="Q80" s="72" t="s">
        <v>111</v>
      </c>
      <c r="R80" s="272" t="e">
        <f>IF(Z80,P80*(-S80*Valori!$B$14/100+1)*(T80*Valori!$C$14/100+1)*(U80*Valori!$D$14/100+1)+K80,"ERRORE")</f>
        <v>#VALUE!</v>
      </c>
      <c r="S80" s="94">
        <v>2</v>
      </c>
      <c r="T80" s="98">
        <v>1</v>
      </c>
      <c r="U80" s="93">
        <v>2</v>
      </c>
      <c r="V80" s="160" t="e">
        <f>IF(Z80,R80*(1&amp;","&amp;Valori!$B$7),"ERRORE")</f>
        <v>#VALUE!</v>
      </c>
      <c r="W80" s="109">
        <f t="shared" si="31"/>
        <v>2</v>
      </c>
      <c r="X80" s="109">
        <f t="shared" si="31"/>
        <v>1</v>
      </c>
      <c r="Y80" s="109">
        <f t="shared" si="31"/>
        <v>2</v>
      </c>
      <c r="Z80" s="110" t="b">
        <f t="shared" si="37"/>
        <v>1</v>
      </c>
      <c r="AA80" s="153"/>
      <c r="AB80"/>
      <c r="AC80" s="284"/>
      <c r="CA80" s="7"/>
    </row>
    <row r="81" spans="1:79" ht="12.75">
      <c r="A81" s="97">
        <v>5</v>
      </c>
      <c r="B81" s="73" t="s">
        <v>30</v>
      </c>
      <c r="C81" s="162">
        <f t="shared" si="32"/>
      </c>
      <c r="D81" s="73" t="s">
        <v>79</v>
      </c>
      <c r="E81" s="269" t="e">
        <f t="shared" si="33"/>
        <v>#VALUE!</v>
      </c>
      <c r="F81" s="74" t="s">
        <v>80</v>
      </c>
      <c r="G81" s="272" t="e">
        <f t="shared" si="34"/>
        <v>#VALUE!</v>
      </c>
      <c r="H81" s="74" t="s">
        <v>80</v>
      </c>
      <c r="I81" s="269" t="e">
        <f t="shared" si="35"/>
        <v>#VALUE!</v>
      </c>
      <c r="J81" s="74" t="s">
        <v>81</v>
      </c>
      <c r="K81" s="158" t="e">
        <f t="shared" si="36"/>
        <v>#VALUE!</v>
      </c>
      <c r="L81" s="164">
        <v>12.47</v>
      </c>
      <c r="M81" s="73" t="s">
        <v>30</v>
      </c>
      <c r="N81" s="97">
        <v>1</v>
      </c>
      <c r="O81" s="73" t="s">
        <v>79</v>
      </c>
      <c r="P81" s="160">
        <f>IF(Istruzioni!$E$7&lt;&gt;"",CostoUnitMatPrima*Qtà,"")</f>
      </c>
      <c r="Q81" s="72" t="s">
        <v>112</v>
      </c>
      <c r="R81" s="272" t="e">
        <f>IF(Z81,P81*(-S81*Valori!$B$14/100+1)*(T81*Valori!$C$14/100+1)*(U81*Valori!$D$14/100+1)+K81,"ERRORE")</f>
        <v>#VALUE!</v>
      </c>
      <c r="S81" s="94">
        <v>2</v>
      </c>
      <c r="T81" s="98">
        <v>1</v>
      </c>
      <c r="U81" s="93">
        <v>2</v>
      </c>
      <c r="V81" s="160" t="e">
        <f>IF(Z81,R81*(1&amp;","&amp;Valori!$B$7),"ERRORE")</f>
        <v>#VALUE!</v>
      </c>
      <c r="W81" s="109">
        <f t="shared" si="31"/>
        <v>2</v>
      </c>
      <c r="X81" s="109">
        <f t="shared" si="31"/>
        <v>1</v>
      </c>
      <c r="Y81" s="109">
        <f t="shared" si="31"/>
        <v>2</v>
      </c>
      <c r="Z81" s="110" t="b">
        <f t="shared" si="37"/>
        <v>1</v>
      </c>
      <c r="AA81" s="153"/>
      <c r="AB81"/>
      <c r="AC81" s="284"/>
      <c r="CA81" s="7"/>
    </row>
    <row r="82" spans="1:79" ht="12.75">
      <c r="A82" s="97">
        <v>5</v>
      </c>
      <c r="B82" s="73" t="s">
        <v>30</v>
      </c>
      <c r="C82" s="162">
        <f t="shared" si="32"/>
      </c>
      <c r="D82" s="73" t="s">
        <v>79</v>
      </c>
      <c r="E82" s="269" t="e">
        <f t="shared" si="33"/>
        <v>#VALUE!</v>
      </c>
      <c r="F82" s="74" t="s">
        <v>80</v>
      </c>
      <c r="G82" s="272" t="e">
        <f t="shared" si="34"/>
        <v>#VALUE!</v>
      </c>
      <c r="H82" s="74" t="s">
        <v>80</v>
      </c>
      <c r="I82" s="269" t="e">
        <f t="shared" si="35"/>
        <v>#VALUE!</v>
      </c>
      <c r="J82" s="74" t="s">
        <v>81</v>
      </c>
      <c r="K82" s="158" t="e">
        <f t="shared" si="36"/>
        <v>#VALUE!</v>
      </c>
      <c r="L82" s="164">
        <v>19.99</v>
      </c>
      <c r="M82" s="73" t="s">
        <v>30</v>
      </c>
      <c r="N82" s="97">
        <v>1</v>
      </c>
      <c r="O82" s="73" t="s">
        <v>79</v>
      </c>
      <c r="P82" s="160">
        <f>IF(Istruzioni!$E$7&lt;&gt;"",CostoUnitMatPrima*Qtà,"")</f>
      </c>
      <c r="Q82" s="72" t="s">
        <v>113</v>
      </c>
      <c r="R82" s="272" t="e">
        <f>IF(Z82,P82*(-S82*Valori!$B$14/100+1)*(T82*Valori!$C$14/100+1)*(U82*Valori!$D$14/100+1)+K82,"ERRORE")</f>
        <v>#VALUE!</v>
      </c>
      <c r="S82" s="94">
        <v>2</v>
      </c>
      <c r="T82" s="98">
        <v>1</v>
      </c>
      <c r="U82" s="93">
        <v>2</v>
      </c>
      <c r="V82" s="160" t="e">
        <f>IF(Z82,R82*(1&amp;","&amp;Valori!$B$7),"ERRORE")</f>
        <v>#VALUE!</v>
      </c>
      <c r="W82" s="109">
        <f t="shared" si="31"/>
        <v>2</v>
      </c>
      <c r="X82" s="109">
        <f t="shared" si="31"/>
        <v>1</v>
      </c>
      <c r="Y82" s="109">
        <f t="shared" si="31"/>
        <v>2</v>
      </c>
      <c r="Z82" s="110" t="b">
        <f t="shared" si="37"/>
        <v>1</v>
      </c>
      <c r="AA82" s="153"/>
      <c r="AB82"/>
      <c r="AC82" s="284"/>
      <c r="CA82" s="7"/>
    </row>
    <row r="83" spans="1:79" ht="12.75">
      <c r="A83" s="97">
        <v>5</v>
      </c>
      <c r="B83" s="73" t="s">
        <v>30</v>
      </c>
      <c r="C83" s="162">
        <f t="shared" si="32"/>
      </c>
      <c r="D83" s="73" t="s">
        <v>79</v>
      </c>
      <c r="E83" s="269" t="e">
        <f t="shared" si="33"/>
        <v>#VALUE!</v>
      </c>
      <c r="F83" s="74" t="s">
        <v>80</v>
      </c>
      <c r="G83" s="272" t="e">
        <f t="shared" si="34"/>
        <v>#VALUE!</v>
      </c>
      <c r="H83" s="74" t="s">
        <v>80</v>
      </c>
      <c r="I83" s="269" t="e">
        <f t="shared" si="35"/>
        <v>#VALUE!</v>
      </c>
      <c r="J83" s="74" t="s">
        <v>81</v>
      </c>
      <c r="K83" s="158" t="e">
        <f t="shared" si="36"/>
        <v>#VALUE!</v>
      </c>
      <c r="L83" s="164">
        <v>28.74</v>
      </c>
      <c r="M83" s="73" t="s">
        <v>30</v>
      </c>
      <c r="N83" s="97">
        <v>1</v>
      </c>
      <c r="O83" s="73" t="s">
        <v>79</v>
      </c>
      <c r="P83" s="160">
        <f>IF(Istruzioni!$E$7&lt;&gt;"",CostoUnitMatPrima*Qtà,"")</f>
      </c>
      <c r="Q83" s="72" t="s">
        <v>114</v>
      </c>
      <c r="R83" s="272" t="e">
        <f>IF(Z83,P83*(-S83*Valori!$B$14/100+1)*(T83*Valori!$C$14/100+1)*(U83*Valori!$D$14/100+1)+K83,"ERRORE")</f>
        <v>#VALUE!</v>
      </c>
      <c r="S83" s="94">
        <v>2</v>
      </c>
      <c r="T83" s="98">
        <v>1</v>
      </c>
      <c r="U83" s="93">
        <v>2</v>
      </c>
      <c r="V83" s="160" t="e">
        <f>IF(Z83,R83*(1&amp;","&amp;Valori!$B$7),"ERRORE")</f>
        <v>#VALUE!</v>
      </c>
      <c r="W83" s="109">
        <f t="shared" si="31"/>
        <v>2</v>
      </c>
      <c r="X83" s="109">
        <f t="shared" si="31"/>
        <v>1</v>
      </c>
      <c r="Y83" s="109">
        <f t="shared" si="31"/>
        <v>2</v>
      </c>
      <c r="Z83" s="110" t="b">
        <f t="shared" si="37"/>
        <v>1</v>
      </c>
      <c r="AA83" s="153"/>
      <c r="AB83"/>
      <c r="AC83" s="284"/>
      <c r="CA83" s="7"/>
    </row>
    <row r="84" spans="1:79" ht="12.75">
      <c r="A84" s="97">
        <v>5</v>
      </c>
      <c r="B84" s="73" t="s">
        <v>30</v>
      </c>
      <c r="C84" s="162">
        <f t="shared" si="32"/>
      </c>
      <c r="D84" s="73" t="s">
        <v>79</v>
      </c>
      <c r="E84" s="269" t="e">
        <f t="shared" si="33"/>
        <v>#VALUE!</v>
      </c>
      <c r="F84" s="74" t="s">
        <v>80</v>
      </c>
      <c r="G84" s="272" t="e">
        <f t="shared" si="34"/>
        <v>#VALUE!</v>
      </c>
      <c r="H84" s="74" t="s">
        <v>80</v>
      </c>
      <c r="I84" s="269" t="e">
        <f t="shared" si="35"/>
        <v>#VALUE!</v>
      </c>
      <c r="J84" s="74" t="s">
        <v>81</v>
      </c>
      <c r="K84" s="158" t="e">
        <f t="shared" si="36"/>
        <v>#VALUE!</v>
      </c>
      <c r="L84" s="164">
        <v>6.66</v>
      </c>
      <c r="M84" s="73" t="s">
        <v>30</v>
      </c>
      <c r="N84" s="97">
        <v>1</v>
      </c>
      <c r="O84" s="73" t="s">
        <v>79</v>
      </c>
      <c r="P84" s="160">
        <f>IF(Istruzioni!$E$7&lt;&gt;"",CostoUnitMatPrima*Qtà,"")</f>
      </c>
      <c r="Q84" s="72" t="s">
        <v>115</v>
      </c>
      <c r="R84" s="272" t="e">
        <f>IF(Z84,P84*(-S84*Valori!$B$14/100+1)*(T84*Valori!$C$14/100+1)*(U84*Valori!$D$14/100+1)+K84,"ERRORE")</f>
        <v>#VALUE!</v>
      </c>
      <c r="S84" s="94">
        <v>2</v>
      </c>
      <c r="T84" s="98">
        <v>1</v>
      </c>
      <c r="U84" s="93">
        <v>2</v>
      </c>
      <c r="V84" s="160" t="e">
        <f>IF(Z84,R84*(1&amp;","&amp;Valori!$B$7),"ERRORE")</f>
        <v>#VALUE!</v>
      </c>
      <c r="W84" s="109">
        <f t="shared" si="31"/>
        <v>2</v>
      </c>
      <c r="X84" s="109">
        <f t="shared" si="31"/>
        <v>1</v>
      </c>
      <c r="Y84" s="109">
        <f t="shared" si="31"/>
        <v>2</v>
      </c>
      <c r="Z84" s="110" t="b">
        <f t="shared" si="37"/>
        <v>1</v>
      </c>
      <c r="AA84" s="153"/>
      <c r="AB84"/>
      <c r="AC84" s="284"/>
      <c r="CA84" s="7"/>
    </row>
    <row r="85" spans="1:79" ht="12.75">
      <c r="A85" s="97">
        <v>5</v>
      </c>
      <c r="B85" s="73" t="s">
        <v>30</v>
      </c>
      <c r="C85" s="162">
        <f t="shared" si="32"/>
      </c>
      <c r="D85" s="73" t="s">
        <v>79</v>
      </c>
      <c r="E85" s="269" t="e">
        <f t="shared" si="33"/>
        <v>#VALUE!</v>
      </c>
      <c r="F85" s="74" t="s">
        <v>80</v>
      </c>
      <c r="G85" s="272" t="e">
        <f t="shared" si="34"/>
        <v>#VALUE!</v>
      </c>
      <c r="H85" s="74" t="s">
        <v>80</v>
      </c>
      <c r="I85" s="269" t="e">
        <f t="shared" si="35"/>
        <v>#VALUE!</v>
      </c>
      <c r="J85" s="74" t="s">
        <v>81</v>
      </c>
      <c r="K85" s="158" t="e">
        <f t="shared" si="36"/>
        <v>#VALUE!</v>
      </c>
      <c r="L85" s="164">
        <v>10.12</v>
      </c>
      <c r="M85" s="73" t="s">
        <v>30</v>
      </c>
      <c r="N85" s="97">
        <v>1</v>
      </c>
      <c r="O85" s="73" t="s">
        <v>79</v>
      </c>
      <c r="P85" s="160">
        <f>IF(Istruzioni!$E$7&lt;&gt;"",CostoUnitMatPrima*Qtà,"")</f>
      </c>
      <c r="Q85" s="72" t="s">
        <v>116</v>
      </c>
      <c r="R85" s="272" t="e">
        <f>IF(Z85,P85*(-S85*Valori!$B$14/100+1)*(T85*Valori!$C$14/100+1)*(U85*Valori!$D$14/100+1)+K85,"ERRORE")</f>
        <v>#VALUE!</v>
      </c>
      <c r="S85" s="94">
        <v>2</v>
      </c>
      <c r="T85" s="98">
        <v>1</v>
      </c>
      <c r="U85" s="93">
        <v>2</v>
      </c>
      <c r="V85" s="160" t="e">
        <f>IF(Z85,R85*(1&amp;","&amp;Valori!$B$7),"ERRORE")</f>
        <v>#VALUE!</v>
      </c>
      <c r="W85" s="109">
        <f t="shared" si="31"/>
        <v>2</v>
      </c>
      <c r="X85" s="109">
        <f t="shared" si="31"/>
        <v>1</v>
      </c>
      <c r="Y85" s="109">
        <f t="shared" si="31"/>
        <v>2</v>
      </c>
      <c r="Z85" s="110" t="b">
        <f t="shared" si="37"/>
        <v>1</v>
      </c>
      <c r="AA85" s="153"/>
      <c r="AB85"/>
      <c r="AC85" s="284"/>
      <c r="CA85" s="7"/>
    </row>
    <row r="86" spans="1:79" ht="12.75">
      <c r="A86" s="97">
        <v>5</v>
      </c>
      <c r="B86" s="73" t="s">
        <v>30</v>
      </c>
      <c r="C86" s="162">
        <f t="shared" si="32"/>
      </c>
      <c r="D86" s="73" t="s">
        <v>79</v>
      </c>
      <c r="E86" s="269" t="e">
        <f t="shared" si="33"/>
        <v>#VALUE!</v>
      </c>
      <c r="F86" s="74" t="s">
        <v>80</v>
      </c>
      <c r="G86" s="272" t="e">
        <f t="shared" si="34"/>
        <v>#VALUE!</v>
      </c>
      <c r="H86" s="74" t="s">
        <v>80</v>
      </c>
      <c r="I86" s="269" t="e">
        <f t="shared" si="35"/>
        <v>#VALUE!</v>
      </c>
      <c r="J86" s="74" t="s">
        <v>81</v>
      </c>
      <c r="K86" s="158" t="e">
        <f t="shared" si="36"/>
        <v>#VALUE!</v>
      </c>
      <c r="L86" s="164">
        <v>20.12</v>
      </c>
      <c r="M86" s="73" t="s">
        <v>30</v>
      </c>
      <c r="N86" s="97">
        <v>1</v>
      </c>
      <c r="O86" s="73" t="s">
        <v>79</v>
      </c>
      <c r="P86" s="160">
        <f>IF(Istruzioni!$E$7&lt;&gt;"",CostoUnitMatPrima*Qtà,"")</f>
      </c>
      <c r="Q86" s="72" t="s">
        <v>175</v>
      </c>
      <c r="R86" s="272" t="e">
        <f>IF(Z86,P86*(-S86*Valori!$B$14/100+1)*(T86*Valori!$C$14/100+1)*(U86*Valori!$D$14/100+1)+K86,"ERRORE")</f>
        <v>#VALUE!</v>
      </c>
      <c r="S86" s="94">
        <v>2</v>
      </c>
      <c r="T86" s="98">
        <v>1</v>
      </c>
      <c r="U86" s="93">
        <v>2</v>
      </c>
      <c r="V86" s="160" t="e">
        <f>IF(Z86,R86*(1&amp;","&amp;Valori!$B$7),"ERRORE")</f>
        <v>#VALUE!</v>
      </c>
      <c r="W86" s="109">
        <f t="shared" si="31"/>
        <v>2</v>
      </c>
      <c r="X86" s="109">
        <f t="shared" si="31"/>
        <v>1</v>
      </c>
      <c r="Y86" s="109">
        <f t="shared" si="31"/>
        <v>2</v>
      </c>
      <c r="Z86" s="110" t="b">
        <f t="shared" si="37"/>
        <v>1</v>
      </c>
      <c r="AA86" s="153"/>
      <c r="AB86"/>
      <c r="AC86" s="284"/>
      <c r="CA86" s="7"/>
    </row>
    <row r="87" spans="1:79" ht="12.75">
      <c r="A87" s="97">
        <v>5</v>
      </c>
      <c r="B87" s="73" t="s">
        <v>30</v>
      </c>
      <c r="C87" s="162">
        <f t="shared" si="32"/>
      </c>
      <c r="D87" s="73" t="s">
        <v>79</v>
      </c>
      <c r="E87" s="269" t="e">
        <f t="shared" si="33"/>
        <v>#VALUE!</v>
      </c>
      <c r="F87" s="74" t="s">
        <v>80</v>
      </c>
      <c r="G87" s="272" t="e">
        <f t="shared" si="34"/>
        <v>#VALUE!</v>
      </c>
      <c r="H87" s="74" t="s">
        <v>80</v>
      </c>
      <c r="I87" s="269" t="e">
        <f t="shared" si="35"/>
        <v>#VALUE!</v>
      </c>
      <c r="J87" s="74" t="s">
        <v>81</v>
      </c>
      <c r="K87" s="158" t="e">
        <f t="shared" si="36"/>
        <v>#VALUE!</v>
      </c>
      <c r="L87" s="164">
        <v>26.96</v>
      </c>
      <c r="M87" s="73" t="s">
        <v>30</v>
      </c>
      <c r="N87" s="97">
        <v>1</v>
      </c>
      <c r="O87" s="73" t="s">
        <v>79</v>
      </c>
      <c r="P87" s="160">
        <f>IF(Istruzioni!$E$7&lt;&gt;"",CostoUnitMatPrima*Qtà,"")</f>
      </c>
      <c r="Q87" s="72" t="s">
        <v>176</v>
      </c>
      <c r="R87" s="272" t="e">
        <f>IF(Z87,P87*(-S87*Valori!$B$14/100+1)*(T87*Valori!$C$14/100+1)*(U87*Valori!$D$14/100+1)+K87,"ERRORE")</f>
        <v>#VALUE!</v>
      </c>
      <c r="S87" s="94">
        <v>2</v>
      </c>
      <c r="T87" s="98">
        <v>1</v>
      </c>
      <c r="U87" s="93">
        <v>2</v>
      </c>
      <c r="V87" s="160" t="e">
        <f>IF(Z87,R87*(1&amp;","&amp;Valori!$B$7),"ERRORE")</f>
        <v>#VALUE!</v>
      </c>
      <c r="W87" s="109">
        <f aca="true" t="shared" si="38" ref="W87:Y101">IF(S87&lt;=0,"errore",IF(S87&gt;5,"errore",S87))</f>
        <v>2</v>
      </c>
      <c r="X87" s="109">
        <f t="shared" si="38"/>
        <v>1</v>
      </c>
      <c r="Y87" s="109">
        <f t="shared" si="38"/>
        <v>2</v>
      </c>
      <c r="Z87" s="110" t="b">
        <f t="shared" si="37"/>
        <v>1</v>
      </c>
      <c r="AA87" s="153"/>
      <c r="AB87"/>
      <c r="AC87" s="284"/>
      <c r="CA87" s="7"/>
    </row>
    <row r="88" spans="1:79" ht="12.75">
      <c r="A88" s="97">
        <v>5</v>
      </c>
      <c r="B88" s="73" t="s">
        <v>30</v>
      </c>
      <c r="C88" s="162">
        <f t="shared" si="32"/>
      </c>
      <c r="D88" s="73" t="s">
        <v>79</v>
      </c>
      <c r="E88" s="269" t="e">
        <f t="shared" si="33"/>
        <v>#VALUE!</v>
      </c>
      <c r="F88" s="74" t="s">
        <v>80</v>
      </c>
      <c r="G88" s="272" t="e">
        <f t="shared" si="34"/>
        <v>#VALUE!</v>
      </c>
      <c r="H88" s="74" t="s">
        <v>80</v>
      </c>
      <c r="I88" s="269" t="e">
        <f t="shared" si="35"/>
        <v>#VALUE!</v>
      </c>
      <c r="J88" s="74" t="s">
        <v>81</v>
      </c>
      <c r="K88" s="158" t="e">
        <f t="shared" si="36"/>
        <v>#VALUE!</v>
      </c>
      <c r="L88" s="164">
        <v>43.86</v>
      </c>
      <c r="M88" s="73" t="s">
        <v>30</v>
      </c>
      <c r="N88" s="97">
        <v>1</v>
      </c>
      <c r="O88" s="73" t="s">
        <v>79</v>
      </c>
      <c r="P88" s="160">
        <f>IF(Istruzioni!$E$7&lt;&gt;"",CostoUnitMatPrima*Qtà,"")</f>
      </c>
      <c r="Q88" s="72" t="s">
        <v>177</v>
      </c>
      <c r="R88" s="272" t="e">
        <f>IF(Z88,P88*(-S88*Valori!$B$14/100+1)*(T88*Valori!$C$14/100+1)*(U88*Valori!$D$14/100+1)+K88,"ERRORE")</f>
        <v>#VALUE!</v>
      </c>
      <c r="S88" s="94">
        <v>2</v>
      </c>
      <c r="T88" s="98">
        <v>1</v>
      </c>
      <c r="U88" s="93">
        <v>2</v>
      </c>
      <c r="V88" s="160" t="e">
        <f>IF(Z88,R88*(1&amp;","&amp;Valori!$B$7),"ERRORE")</f>
        <v>#VALUE!</v>
      </c>
      <c r="W88" s="109">
        <f t="shared" si="38"/>
        <v>2</v>
      </c>
      <c r="X88" s="109">
        <f t="shared" si="38"/>
        <v>1</v>
      </c>
      <c r="Y88" s="109">
        <f t="shared" si="38"/>
        <v>2</v>
      </c>
      <c r="Z88" s="110" t="b">
        <f t="shared" si="37"/>
        <v>1</v>
      </c>
      <c r="AA88" s="153"/>
      <c r="AB88"/>
      <c r="AC88" s="284"/>
      <c r="CA88" s="7"/>
    </row>
    <row r="89" spans="1:79" ht="12.75">
      <c r="A89" s="117"/>
      <c r="B89" s="30"/>
      <c r="C89" s="36"/>
      <c r="D89" s="30"/>
      <c r="E89" s="271"/>
      <c r="F89" s="35"/>
      <c r="G89" s="271"/>
      <c r="H89" s="35"/>
      <c r="I89" s="271"/>
      <c r="J89" s="35"/>
      <c r="K89" s="11"/>
      <c r="L89" s="20"/>
      <c r="M89" s="30"/>
      <c r="N89" s="21"/>
      <c r="O89" s="30"/>
      <c r="P89" s="11"/>
      <c r="Q89" s="17" t="s">
        <v>178</v>
      </c>
      <c r="R89" s="271"/>
      <c r="S89" s="22"/>
      <c r="T89" s="22"/>
      <c r="U89" s="22"/>
      <c r="V89" s="150">
        <f>IF(Istruzioni!$E$7&lt;&gt;"",Istruzioni!$G$12,"")</f>
      </c>
      <c r="W89" s="109"/>
      <c r="X89" s="109"/>
      <c r="Y89" s="109"/>
      <c r="Z89" s="109"/>
      <c r="AA89" s="150"/>
      <c r="AB89"/>
      <c r="AC89" s="284"/>
      <c r="CA89" s="11"/>
    </row>
    <row r="90" spans="1:79" ht="12.75">
      <c r="A90" s="97">
        <v>120</v>
      </c>
      <c r="B90" s="73" t="s">
        <v>30</v>
      </c>
      <c r="C90" s="162">
        <f aca="true" t="shared" si="39" ref="C90:C101">CostoMinuto</f>
      </c>
      <c r="D90" s="73" t="s">
        <v>79</v>
      </c>
      <c r="E90" s="269" t="e">
        <f aca="true" t="shared" si="40" ref="E90:E101">MinutiLavoro*CostoMinuto</f>
        <v>#VALUE!</v>
      </c>
      <c r="F90" s="74" t="s">
        <v>80</v>
      </c>
      <c r="G90" s="272" t="e">
        <f aca="true" t="shared" si="41" ref="G90:G101">Costi_Variabili/Min_Lavoro_Anno*A90</f>
        <v>#VALUE!</v>
      </c>
      <c r="H90" s="74" t="s">
        <v>80</v>
      </c>
      <c r="I90" s="269" t="e">
        <f aca="true" t="shared" si="42" ref="I90:I101">Costi_Fissi/Min_Lavoro_Anno*A90</f>
        <v>#VALUE!</v>
      </c>
      <c r="J90" s="74" t="s">
        <v>81</v>
      </c>
      <c r="K90" s="158" t="e">
        <f aca="true" t="shared" si="43" ref="K90:K101">SUM(E90+G90+I90)</f>
        <v>#VALUE!</v>
      </c>
      <c r="L90" s="164">
        <v>1.02</v>
      </c>
      <c r="M90" s="73" t="s">
        <v>30</v>
      </c>
      <c r="N90" s="97">
        <v>12</v>
      </c>
      <c r="O90" s="73" t="s">
        <v>79</v>
      </c>
      <c r="P90" s="160">
        <f>IF(Istruzioni!$E$7&lt;&gt;"",CostoUnitMatPrima*Qtà,"")</f>
      </c>
      <c r="Q90" s="72" t="s">
        <v>125</v>
      </c>
      <c r="R90" s="272" t="e">
        <f>IF(Z90,P90*(-S90*Valori!$B$14/100+1)*(T90*Valori!$C$14/100+1)*(U90*Valori!$D$14/100+1)+K90,"ERRORE")</f>
        <v>#VALUE!</v>
      </c>
      <c r="S90" s="94">
        <v>1</v>
      </c>
      <c r="T90" s="98">
        <v>2</v>
      </c>
      <c r="U90" s="93">
        <v>3</v>
      </c>
      <c r="V90" s="160" t="e">
        <f>IF(Z90,R90*(1&amp;","&amp;Valori!$B$7),"ERRORE")</f>
        <v>#VALUE!</v>
      </c>
      <c r="W90" s="109">
        <f t="shared" si="38"/>
        <v>1</v>
      </c>
      <c r="X90" s="109">
        <f t="shared" si="38"/>
        <v>2</v>
      </c>
      <c r="Y90" s="109">
        <f t="shared" si="38"/>
        <v>3</v>
      </c>
      <c r="Z90" s="110" t="b">
        <f aca="true" t="shared" si="44" ref="Z90:Z101">ISNUMBER(W90+X90+Y90)</f>
        <v>1</v>
      </c>
      <c r="AA90" s="152"/>
      <c r="AB90"/>
      <c r="AC90" s="284"/>
      <c r="CA90" s="7"/>
    </row>
    <row r="91" spans="1:79" ht="12.75">
      <c r="A91" s="97">
        <v>120</v>
      </c>
      <c r="B91" s="73" t="s">
        <v>30</v>
      </c>
      <c r="C91" s="162">
        <f t="shared" si="39"/>
      </c>
      <c r="D91" s="73" t="s">
        <v>79</v>
      </c>
      <c r="E91" s="269" t="e">
        <f t="shared" si="40"/>
        <v>#VALUE!</v>
      </c>
      <c r="F91" s="74" t="s">
        <v>80</v>
      </c>
      <c r="G91" s="272" t="e">
        <f t="shared" si="41"/>
        <v>#VALUE!</v>
      </c>
      <c r="H91" s="74" t="s">
        <v>80</v>
      </c>
      <c r="I91" s="269" t="e">
        <f t="shared" si="42"/>
        <v>#VALUE!</v>
      </c>
      <c r="J91" s="74" t="s">
        <v>81</v>
      </c>
      <c r="K91" s="158" t="e">
        <f t="shared" si="43"/>
        <v>#VALUE!</v>
      </c>
      <c r="L91" s="164">
        <v>2.04</v>
      </c>
      <c r="M91" s="73" t="s">
        <v>30</v>
      </c>
      <c r="N91" s="97">
        <v>12</v>
      </c>
      <c r="O91" s="73" t="s">
        <v>79</v>
      </c>
      <c r="P91" s="160">
        <f>IF(Istruzioni!$E$7&lt;&gt;"",CostoUnitMatPrima*Qtà,"")</f>
      </c>
      <c r="Q91" s="72" t="s">
        <v>126</v>
      </c>
      <c r="R91" s="272" t="e">
        <f>IF(Z91,P91*(-S91*Valori!$B$14/100+1)*(T91*Valori!$C$14/100+1)*(U91*Valori!$D$14/100+1)+K91,"ERRORE")</f>
        <v>#VALUE!</v>
      </c>
      <c r="S91" s="94">
        <v>1</v>
      </c>
      <c r="T91" s="98">
        <v>3</v>
      </c>
      <c r="U91" s="93">
        <v>4</v>
      </c>
      <c r="V91" s="160" t="e">
        <f>IF(Z91,R91*(1&amp;","&amp;Valori!$B$7),"ERRORE")</f>
        <v>#VALUE!</v>
      </c>
      <c r="W91" s="109">
        <f t="shared" si="38"/>
        <v>1</v>
      </c>
      <c r="X91" s="109">
        <f t="shared" si="38"/>
        <v>3</v>
      </c>
      <c r="Y91" s="109">
        <f t="shared" si="38"/>
        <v>4</v>
      </c>
      <c r="Z91" s="110" t="b">
        <f t="shared" si="44"/>
        <v>1</v>
      </c>
      <c r="AA91" s="153"/>
      <c r="AB91"/>
      <c r="AC91" s="284"/>
      <c r="CA91" s="7"/>
    </row>
    <row r="92" spans="1:79" ht="12.75">
      <c r="A92" s="97">
        <v>120</v>
      </c>
      <c r="B92" s="73" t="s">
        <v>30</v>
      </c>
      <c r="C92" s="162">
        <f t="shared" si="39"/>
      </c>
      <c r="D92" s="73" t="s">
        <v>79</v>
      </c>
      <c r="E92" s="269" t="e">
        <f t="shared" si="40"/>
        <v>#VALUE!</v>
      </c>
      <c r="F92" s="74" t="s">
        <v>80</v>
      </c>
      <c r="G92" s="272" t="e">
        <f t="shared" si="41"/>
        <v>#VALUE!</v>
      </c>
      <c r="H92" s="74" t="s">
        <v>80</v>
      </c>
      <c r="I92" s="269" t="e">
        <f t="shared" si="42"/>
        <v>#VALUE!</v>
      </c>
      <c r="J92" s="74" t="s">
        <v>81</v>
      </c>
      <c r="K92" s="158" t="e">
        <f t="shared" si="43"/>
        <v>#VALUE!</v>
      </c>
      <c r="L92" s="164">
        <v>2.12</v>
      </c>
      <c r="M92" s="73" t="s">
        <v>30</v>
      </c>
      <c r="N92" s="97">
        <v>12</v>
      </c>
      <c r="O92" s="73" t="s">
        <v>79</v>
      </c>
      <c r="P92" s="160">
        <f>IF(Istruzioni!$E$7&lt;&gt;"",CostoUnitMatPrima*Qtà,"")</f>
      </c>
      <c r="Q92" s="72" t="s">
        <v>127</v>
      </c>
      <c r="R92" s="272" t="e">
        <f>IF(Z92,P92*(-S92*Valori!$B$14/100+1)*(T92*Valori!$C$14/100+1)*(U92*Valori!$D$14/100+1)+K92,"ERRORE")</f>
        <v>#VALUE!</v>
      </c>
      <c r="S92" s="94">
        <v>1</v>
      </c>
      <c r="T92" s="98">
        <v>3</v>
      </c>
      <c r="U92" s="93">
        <v>4</v>
      </c>
      <c r="V92" s="160" t="e">
        <f>IF(Z92,R92*(1&amp;","&amp;Valori!$B$7),"ERRORE")</f>
        <v>#VALUE!</v>
      </c>
      <c r="W92" s="109">
        <f t="shared" si="38"/>
        <v>1</v>
      </c>
      <c r="X92" s="109">
        <f t="shared" si="38"/>
        <v>3</v>
      </c>
      <c r="Y92" s="109">
        <f t="shared" si="38"/>
        <v>4</v>
      </c>
      <c r="Z92" s="110" t="b">
        <f t="shared" si="44"/>
        <v>1</v>
      </c>
      <c r="AA92" s="153"/>
      <c r="AB92"/>
      <c r="AC92" s="284"/>
      <c r="CA92" s="7"/>
    </row>
    <row r="93" spans="1:79" ht="12.75">
      <c r="A93" s="97">
        <v>120</v>
      </c>
      <c r="B93" s="73" t="s">
        <v>30</v>
      </c>
      <c r="C93" s="162">
        <f t="shared" si="39"/>
      </c>
      <c r="D93" s="73" t="s">
        <v>79</v>
      </c>
      <c r="E93" s="269" t="e">
        <f t="shared" si="40"/>
        <v>#VALUE!</v>
      </c>
      <c r="F93" s="74" t="s">
        <v>80</v>
      </c>
      <c r="G93" s="272" t="e">
        <f t="shared" si="41"/>
        <v>#VALUE!</v>
      </c>
      <c r="H93" s="74" t="s">
        <v>80</v>
      </c>
      <c r="I93" s="269" t="e">
        <f t="shared" si="42"/>
        <v>#VALUE!</v>
      </c>
      <c r="J93" s="74" t="s">
        <v>81</v>
      </c>
      <c r="K93" s="158" t="e">
        <f t="shared" si="43"/>
        <v>#VALUE!</v>
      </c>
      <c r="L93" s="164">
        <v>5.36</v>
      </c>
      <c r="M93" s="73" t="s">
        <v>30</v>
      </c>
      <c r="N93" s="97">
        <v>6</v>
      </c>
      <c r="O93" s="73" t="s">
        <v>79</v>
      </c>
      <c r="P93" s="160">
        <f>IF(Istruzioni!$E$7&lt;&gt;"",CostoUnitMatPrima*Qtà,"")</f>
      </c>
      <c r="Q93" s="72" t="s">
        <v>128</v>
      </c>
      <c r="R93" s="272" t="e">
        <f>IF(Z93,P93*(-S93*Valori!$B$14/100+1)*(T93*Valori!$C$14/100+1)*(U93*Valori!$D$14/100+1)+K93,"ERRORE")</f>
        <v>#VALUE!</v>
      </c>
      <c r="S93" s="94">
        <v>1</v>
      </c>
      <c r="T93" s="98">
        <v>4</v>
      </c>
      <c r="U93" s="93">
        <v>5</v>
      </c>
      <c r="V93" s="160" t="e">
        <f>IF(Z93,R93*(1&amp;","&amp;Valori!$B$7),"ERRORE")</f>
        <v>#VALUE!</v>
      </c>
      <c r="W93" s="109">
        <f t="shared" si="38"/>
        <v>1</v>
      </c>
      <c r="X93" s="109">
        <f t="shared" si="38"/>
        <v>4</v>
      </c>
      <c r="Y93" s="109">
        <f t="shared" si="38"/>
        <v>5</v>
      </c>
      <c r="Z93" s="110" t="b">
        <f t="shared" si="44"/>
        <v>1</v>
      </c>
      <c r="AA93" s="153"/>
      <c r="AB93"/>
      <c r="AC93" s="284"/>
      <c r="CA93" s="7"/>
    </row>
    <row r="94" spans="1:79" ht="12.75">
      <c r="A94" s="97">
        <v>120</v>
      </c>
      <c r="B94" s="73" t="s">
        <v>30</v>
      </c>
      <c r="C94" s="162">
        <f t="shared" si="39"/>
      </c>
      <c r="D94" s="73" t="s">
        <v>79</v>
      </c>
      <c r="E94" s="269" t="e">
        <f t="shared" si="40"/>
        <v>#VALUE!</v>
      </c>
      <c r="F94" s="74" t="s">
        <v>80</v>
      </c>
      <c r="G94" s="272" t="e">
        <f t="shared" si="41"/>
        <v>#VALUE!</v>
      </c>
      <c r="H94" s="74" t="s">
        <v>80</v>
      </c>
      <c r="I94" s="269" t="e">
        <f t="shared" si="42"/>
        <v>#VALUE!</v>
      </c>
      <c r="J94" s="74" t="s">
        <v>81</v>
      </c>
      <c r="K94" s="158" t="e">
        <f t="shared" si="43"/>
        <v>#VALUE!</v>
      </c>
      <c r="L94" s="164">
        <v>7.52</v>
      </c>
      <c r="M94" s="73" t="s">
        <v>30</v>
      </c>
      <c r="N94" s="97">
        <v>6</v>
      </c>
      <c r="O94" s="73" t="s">
        <v>79</v>
      </c>
      <c r="P94" s="160">
        <f>IF(Istruzioni!$E$7&lt;&gt;"",CostoUnitMatPrima*Qtà,"")</f>
      </c>
      <c r="Q94" s="72" t="s">
        <v>129</v>
      </c>
      <c r="R94" s="272" t="e">
        <f>IF(Z94,P94*(-S94*Valori!$B$14/100+1)*(T94*Valori!$C$14/100+1)*(U94*Valori!$D$14/100+1)+K94,"ERRORE")</f>
        <v>#VALUE!</v>
      </c>
      <c r="S94" s="94">
        <v>1</v>
      </c>
      <c r="T94" s="98">
        <v>4</v>
      </c>
      <c r="U94" s="93">
        <v>5</v>
      </c>
      <c r="V94" s="160" t="e">
        <f>IF(Z94,R94*(1&amp;","&amp;Valori!$B$7),"ERRORE")</f>
        <v>#VALUE!</v>
      </c>
      <c r="W94" s="109">
        <f t="shared" si="38"/>
        <v>1</v>
      </c>
      <c r="X94" s="109">
        <f t="shared" si="38"/>
        <v>4</v>
      </c>
      <c r="Y94" s="109">
        <f t="shared" si="38"/>
        <v>5</v>
      </c>
      <c r="Z94" s="110" t="b">
        <f t="shared" si="44"/>
        <v>1</v>
      </c>
      <c r="AA94" s="153"/>
      <c r="AB94"/>
      <c r="AC94" s="284"/>
      <c r="CA94" s="7"/>
    </row>
    <row r="95" spans="1:79" ht="12.75">
      <c r="A95" s="97">
        <v>120</v>
      </c>
      <c r="B95" s="73" t="s">
        <v>30</v>
      </c>
      <c r="C95" s="162">
        <f t="shared" si="39"/>
      </c>
      <c r="D95" s="73" t="s">
        <v>79</v>
      </c>
      <c r="E95" s="269" t="e">
        <f t="shared" si="40"/>
        <v>#VALUE!</v>
      </c>
      <c r="F95" s="74" t="s">
        <v>80</v>
      </c>
      <c r="G95" s="272" t="e">
        <f t="shared" si="41"/>
        <v>#VALUE!</v>
      </c>
      <c r="H95" s="74" t="s">
        <v>80</v>
      </c>
      <c r="I95" s="269" t="e">
        <f t="shared" si="42"/>
        <v>#VALUE!</v>
      </c>
      <c r="J95" s="74" t="s">
        <v>81</v>
      </c>
      <c r="K95" s="158" t="e">
        <f t="shared" si="43"/>
        <v>#VALUE!</v>
      </c>
      <c r="L95" s="164">
        <v>12.03</v>
      </c>
      <c r="M95" s="73" t="s">
        <v>30</v>
      </c>
      <c r="N95" s="97">
        <v>6</v>
      </c>
      <c r="O95" s="73" t="s">
        <v>79</v>
      </c>
      <c r="P95" s="160">
        <f>IF(Istruzioni!$E$7&lt;&gt;"",CostoUnitMatPrima*Qtà,"")</f>
      </c>
      <c r="Q95" s="72" t="s">
        <v>130</v>
      </c>
      <c r="R95" s="272" t="e">
        <f>IF(Z95,P95*(-S95*Valori!$B$14/100+1)*(T95*Valori!$C$14/100+1)*(U95*Valori!$D$14/100+1)+K95,"ERRORE")</f>
        <v>#VALUE!</v>
      </c>
      <c r="S95" s="94">
        <v>1</v>
      </c>
      <c r="T95" s="98">
        <v>4</v>
      </c>
      <c r="U95" s="93">
        <v>5</v>
      </c>
      <c r="V95" s="160" t="e">
        <f>IF(Z95,R95*(1&amp;","&amp;Valori!$B$7),"ERRORE")</f>
        <v>#VALUE!</v>
      </c>
      <c r="W95" s="109">
        <f t="shared" si="38"/>
        <v>1</v>
      </c>
      <c r="X95" s="109">
        <f t="shared" si="38"/>
        <v>4</v>
      </c>
      <c r="Y95" s="109">
        <f t="shared" si="38"/>
        <v>5</v>
      </c>
      <c r="Z95" s="110" t="b">
        <f t="shared" si="44"/>
        <v>1</v>
      </c>
      <c r="AA95" s="153"/>
      <c r="AB95"/>
      <c r="AC95" s="284"/>
      <c r="CA95" s="7"/>
    </row>
    <row r="96" spans="1:79" ht="12.75">
      <c r="A96" s="97">
        <v>120</v>
      </c>
      <c r="B96" s="73" t="s">
        <v>30</v>
      </c>
      <c r="C96" s="162">
        <f t="shared" si="39"/>
      </c>
      <c r="D96" s="73" t="s">
        <v>79</v>
      </c>
      <c r="E96" s="269" t="e">
        <f t="shared" si="40"/>
        <v>#VALUE!</v>
      </c>
      <c r="F96" s="74" t="s">
        <v>80</v>
      </c>
      <c r="G96" s="272" t="e">
        <f t="shared" si="41"/>
        <v>#VALUE!</v>
      </c>
      <c r="H96" s="74" t="s">
        <v>80</v>
      </c>
      <c r="I96" s="269" t="e">
        <f t="shared" si="42"/>
        <v>#VALUE!</v>
      </c>
      <c r="J96" s="74" t="s">
        <v>81</v>
      </c>
      <c r="K96" s="158" t="e">
        <f t="shared" si="43"/>
        <v>#VALUE!</v>
      </c>
      <c r="L96" s="164">
        <v>0.93</v>
      </c>
      <c r="M96" s="73" t="s">
        <v>30</v>
      </c>
      <c r="N96" s="97">
        <v>12</v>
      </c>
      <c r="O96" s="73" t="s">
        <v>79</v>
      </c>
      <c r="P96" s="160">
        <f>IF(Istruzioni!$E$7&lt;&gt;"",CostoUnitMatPrima*Qtà,"")</f>
      </c>
      <c r="Q96" s="72" t="s">
        <v>131</v>
      </c>
      <c r="R96" s="272" t="e">
        <f>IF(Z96,P96*(-S96*Valori!$B$14/100+1)*(T96*Valori!$C$14/100+1)*(U96*Valori!$D$14/100+1)+K96,"ERRORE")</f>
        <v>#VALUE!</v>
      </c>
      <c r="S96" s="94">
        <v>1</v>
      </c>
      <c r="T96" s="98">
        <v>2</v>
      </c>
      <c r="U96" s="93">
        <v>3</v>
      </c>
      <c r="V96" s="160" t="e">
        <f>IF(Z96,R96*(1&amp;","&amp;Valori!$B$7),"ERRORE")</f>
        <v>#VALUE!</v>
      </c>
      <c r="W96" s="109">
        <f t="shared" si="38"/>
        <v>1</v>
      </c>
      <c r="X96" s="109">
        <f t="shared" si="38"/>
        <v>2</v>
      </c>
      <c r="Y96" s="109">
        <f t="shared" si="38"/>
        <v>3</v>
      </c>
      <c r="Z96" s="110" t="b">
        <f t="shared" si="44"/>
        <v>1</v>
      </c>
      <c r="AA96" s="153"/>
      <c r="AB96"/>
      <c r="AC96" s="284"/>
      <c r="CA96" s="7"/>
    </row>
    <row r="97" spans="1:79" ht="12.75">
      <c r="A97" s="97">
        <v>120</v>
      </c>
      <c r="B97" s="73" t="s">
        <v>30</v>
      </c>
      <c r="C97" s="162">
        <f t="shared" si="39"/>
      </c>
      <c r="D97" s="73" t="s">
        <v>79</v>
      </c>
      <c r="E97" s="269" t="e">
        <f t="shared" si="40"/>
        <v>#VALUE!</v>
      </c>
      <c r="F97" s="74" t="s">
        <v>80</v>
      </c>
      <c r="G97" s="272" t="e">
        <f t="shared" si="41"/>
        <v>#VALUE!</v>
      </c>
      <c r="H97" s="74" t="s">
        <v>80</v>
      </c>
      <c r="I97" s="269" t="e">
        <f t="shared" si="42"/>
        <v>#VALUE!</v>
      </c>
      <c r="J97" s="74" t="s">
        <v>81</v>
      </c>
      <c r="K97" s="158" t="e">
        <f t="shared" si="43"/>
        <v>#VALUE!</v>
      </c>
      <c r="L97" s="164">
        <v>1.03</v>
      </c>
      <c r="M97" s="73" t="s">
        <v>30</v>
      </c>
      <c r="N97" s="97">
        <v>12</v>
      </c>
      <c r="O97" s="73" t="s">
        <v>79</v>
      </c>
      <c r="P97" s="160">
        <f>IF(Istruzioni!$E$7&lt;&gt;"",CostoUnitMatPrima*Qtà,"")</f>
      </c>
      <c r="Q97" s="72" t="s">
        <v>132</v>
      </c>
      <c r="R97" s="272" t="e">
        <f>IF(Z97,P97*(-S97*Valori!$B$14/100+1)*(T97*Valori!$C$14/100+1)*(U97*Valori!$D$14/100+1)+K97,"ERRORE")</f>
        <v>#VALUE!</v>
      </c>
      <c r="S97" s="94">
        <v>1</v>
      </c>
      <c r="T97" s="98">
        <v>3</v>
      </c>
      <c r="U97" s="93">
        <v>4</v>
      </c>
      <c r="V97" s="160" t="e">
        <f>IF(Z97,R97*(1&amp;","&amp;Valori!$B$7),"ERRORE")</f>
        <v>#VALUE!</v>
      </c>
      <c r="W97" s="109">
        <f t="shared" si="38"/>
        <v>1</v>
      </c>
      <c r="X97" s="109">
        <f t="shared" si="38"/>
        <v>3</v>
      </c>
      <c r="Y97" s="109">
        <f t="shared" si="38"/>
        <v>4</v>
      </c>
      <c r="Z97" s="110" t="b">
        <f t="shared" si="44"/>
        <v>1</v>
      </c>
      <c r="AA97" s="153"/>
      <c r="AB97"/>
      <c r="AC97" s="284"/>
      <c r="CA97" s="7"/>
    </row>
    <row r="98" spans="1:79" ht="12.75">
      <c r="A98" s="97">
        <v>120</v>
      </c>
      <c r="B98" s="73" t="s">
        <v>30</v>
      </c>
      <c r="C98" s="162">
        <f t="shared" si="39"/>
      </c>
      <c r="D98" s="73" t="s">
        <v>79</v>
      </c>
      <c r="E98" s="269" t="e">
        <f t="shared" si="40"/>
        <v>#VALUE!</v>
      </c>
      <c r="F98" s="74" t="s">
        <v>80</v>
      </c>
      <c r="G98" s="272" t="e">
        <f t="shared" si="41"/>
        <v>#VALUE!</v>
      </c>
      <c r="H98" s="74" t="s">
        <v>80</v>
      </c>
      <c r="I98" s="269" t="e">
        <f t="shared" si="42"/>
        <v>#VALUE!</v>
      </c>
      <c r="J98" s="74" t="s">
        <v>81</v>
      </c>
      <c r="K98" s="158" t="e">
        <f t="shared" si="43"/>
        <v>#VALUE!</v>
      </c>
      <c r="L98" s="164">
        <v>1.11</v>
      </c>
      <c r="M98" s="73" t="s">
        <v>30</v>
      </c>
      <c r="N98" s="97">
        <v>12</v>
      </c>
      <c r="O98" s="73" t="s">
        <v>79</v>
      </c>
      <c r="P98" s="160">
        <f>IF(Istruzioni!$E$7&lt;&gt;"",CostoUnitMatPrima*Qtà,"")</f>
      </c>
      <c r="Q98" s="72" t="s">
        <v>133</v>
      </c>
      <c r="R98" s="272" t="e">
        <f>IF(Z98,P98*(-S98*Valori!$B$14/100+1)*(T98*Valori!$C$14/100+1)*(U98*Valori!$D$14/100+1)+K98,"ERRORE")</f>
        <v>#VALUE!</v>
      </c>
      <c r="S98" s="94">
        <v>1</v>
      </c>
      <c r="T98" s="98">
        <v>3</v>
      </c>
      <c r="U98" s="93">
        <v>4</v>
      </c>
      <c r="V98" s="160" t="e">
        <f>IF(Z98,R98*(1&amp;","&amp;Valori!$B$7),"ERRORE")</f>
        <v>#VALUE!</v>
      </c>
      <c r="W98" s="109">
        <f t="shared" si="38"/>
        <v>1</v>
      </c>
      <c r="X98" s="109">
        <f t="shared" si="38"/>
        <v>3</v>
      </c>
      <c r="Y98" s="109">
        <f t="shared" si="38"/>
        <v>4</v>
      </c>
      <c r="Z98" s="110" t="b">
        <f t="shared" si="44"/>
        <v>1</v>
      </c>
      <c r="AA98" s="153"/>
      <c r="AB98"/>
      <c r="AC98" s="284"/>
      <c r="CA98" s="7"/>
    </row>
    <row r="99" spans="1:79" ht="12.75">
      <c r="A99" s="97">
        <v>120</v>
      </c>
      <c r="B99" s="73" t="s">
        <v>30</v>
      </c>
      <c r="C99" s="162">
        <f t="shared" si="39"/>
      </c>
      <c r="D99" s="73" t="s">
        <v>79</v>
      </c>
      <c r="E99" s="269" t="e">
        <f t="shared" si="40"/>
        <v>#VALUE!</v>
      </c>
      <c r="F99" s="74" t="s">
        <v>80</v>
      </c>
      <c r="G99" s="272" t="e">
        <f t="shared" si="41"/>
        <v>#VALUE!</v>
      </c>
      <c r="H99" s="74" t="s">
        <v>80</v>
      </c>
      <c r="I99" s="269" t="e">
        <f t="shared" si="42"/>
        <v>#VALUE!</v>
      </c>
      <c r="J99" s="74" t="s">
        <v>81</v>
      </c>
      <c r="K99" s="158" t="e">
        <f t="shared" si="43"/>
        <v>#VALUE!</v>
      </c>
      <c r="L99" s="164">
        <v>3.85</v>
      </c>
      <c r="M99" s="73" t="s">
        <v>30</v>
      </c>
      <c r="N99" s="97">
        <v>6</v>
      </c>
      <c r="O99" s="73" t="s">
        <v>79</v>
      </c>
      <c r="P99" s="160">
        <f>IF(Istruzioni!$E$7&lt;&gt;"",CostoUnitMatPrima*Qtà,"")</f>
      </c>
      <c r="Q99" s="72" t="s">
        <v>134</v>
      </c>
      <c r="R99" s="272" t="e">
        <f>IF(Z99,P99*(-S99*Valori!$B$14/100+1)*(T99*Valori!$C$14/100+1)*(U99*Valori!$D$14/100+1)+K99,"ERRORE")</f>
        <v>#VALUE!</v>
      </c>
      <c r="S99" s="94">
        <v>1</v>
      </c>
      <c r="T99" s="98">
        <v>4</v>
      </c>
      <c r="U99" s="93">
        <v>5</v>
      </c>
      <c r="V99" s="160" t="e">
        <f>IF(Z99,R99*(1&amp;","&amp;Valori!$B$7),"ERRORE")</f>
        <v>#VALUE!</v>
      </c>
      <c r="W99" s="109">
        <f t="shared" si="38"/>
        <v>1</v>
      </c>
      <c r="X99" s="109">
        <f t="shared" si="38"/>
        <v>4</v>
      </c>
      <c r="Y99" s="109">
        <f t="shared" si="38"/>
        <v>5</v>
      </c>
      <c r="Z99" s="110" t="b">
        <f t="shared" si="44"/>
        <v>1</v>
      </c>
      <c r="AA99" s="153"/>
      <c r="AB99"/>
      <c r="AC99" s="284"/>
      <c r="CA99" s="7"/>
    </row>
    <row r="100" spans="1:79" ht="12.75">
      <c r="A100" s="97">
        <v>120</v>
      </c>
      <c r="B100" s="73" t="s">
        <v>30</v>
      </c>
      <c r="C100" s="162">
        <f t="shared" si="39"/>
      </c>
      <c r="D100" s="73" t="s">
        <v>79</v>
      </c>
      <c r="E100" s="269" t="e">
        <f t="shared" si="40"/>
        <v>#VALUE!</v>
      </c>
      <c r="F100" s="74" t="s">
        <v>80</v>
      </c>
      <c r="G100" s="272" t="e">
        <f t="shared" si="41"/>
        <v>#VALUE!</v>
      </c>
      <c r="H100" s="74" t="s">
        <v>80</v>
      </c>
      <c r="I100" s="269" t="e">
        <f t="shared" si="42"/>
        <v>#VALUE!</v>
      </c>
      <c r="J100" s="74" t="s">
        <v>81</v>
      </c>
      <c r="K100" s="158" t="e">
        <f t="shared" si="43"/>
        <v>#VALUE!</v>
      </c>
      <c r="L100" s="164">
        <v>6.43</v>
      </c>
      <c r="M100" s="73" t="s">
        <v>30</v>
      </c>
      <c r="N100" s="97">
        <v>6</v>
      </c>
      <c r="O100" s="73" t="s">
        <v>79</v>
      </c>
      <c r="P100" s="160">
        <f>IF(Istruzioni!$E$7&lt;&gt;"",CostoUnitMatPrima*Qtà,"")</f>
      </c>
      <c r="Q100" s="72" t="s">
        <v>135</v>
      </c>
      <c r="R100" s="272" t="e">
        <f>IF(Z100,P100*(-S100*Valori!$B$14/100+1)*(T100*Valori!$C$14/100+1)*(U100*Valori!$D$14/100+1)+K100,"ERRORE")</f>
        <v>#VALUE!</v>
      </c>
      <c r="S100" s="94">
        <v>1</v>
      </c>
      <c r="T100" s="98">
        <v>4</v>
      </c>
      <c r="U100" s="93">
        <v>5</v>
      </c>
      <c r="V100" s="160" t="e">
        <f>IF(Z100,R100*(1&amp;","&amp;Valori!$B$7),"ERRORE")</f>
        <v>#VALUE!</v>
      </c>
      <c r="W100" s="109">
        <f t="shared" si="38"/>
        <v>1</v>
      </c>
      <c r="X100" s="109">
        <f t="shared" si="38"/>
        <v>4</v>
      </c>
      <c r="Y100" s="109">
        <f t="shared" si="38"/>
        <v>5</v>
      </c>
      <c r="Z100" s="110" t="b">
        <f t="shared" si="44"/>
        <v>1</v>
      </c>
      <c r="AA100" s="153"/>
      <c r="AB100"/>
      <c r="AC100" s="284"/>
      <c r="CA100" s="7"/>
    </row>
    <row r="101" spans="1:79" ht="12.75">
      <c r="A101" s="75">
        <v>120</v>
      </c>
      <c r="B101" s="73" t="s">
        <v>30</v>
      </c>
      <c r="C101" s="162">
        <f t="shared" si="39"/>
      </c>
      <c r="D101" s="73" t="s">
        <v>79</v>
      </c>
      <c r="E101" s="269" t="e">
        <f t="shared" si="40"/>
        <v>#VALUE!</v>
      </c>
      <c r="F101" s="74" t="s">
        <v>80</v>
      </c>
      <c r="G101" s="272" t="e">
        <f t="shared" si="41"/>
        <v>#VALUE!</v>
      </c>
      <c r="H101" s="74" t="s">
        <v>80</v>
      </c>
      <c r="I101" s="269" t="e">
        <f t="shared" si="42"/>
        <v>#VALUE!</v>
      </c>
      <c r="J101" s="74" t="s">
        <v>81</v>
      </c>
      <c r="K101" s="158" t="e">
        <f t="shared" si="43"/>
        <v>#VALUE!</v>
      </c>
      <c r="L101" s="164">
        <v>12.94</v>
      </c>
      <c r="M101" s="73" t="s">
        <v>30</v>
      </c>
      <c r="N101" s="97">
        <v>6</v>
      </c>
      <c r="O101" s="73" t="s">
        <v>79</v>
      </c>
      <c r="P101" s="160">
        <f>IF(Istruzioni!$E$7&lt;&gt;"",CostoUnitMatPrima*Qtà,"")</f>
      </c>
      <c r="Q101" s="72" t="s">
        <v>136</v>
      </c>
      <c r="R101" s="272" t="e">
        <f>IF(Z101,P101*(-S101*Valori!$B$14/100+1)*(T101*Valori!$C$14/100+1)*(U101*Valori!$D$14/100+1)+K101,"ERRORE")</f>
        <v>#VALUE!</v>
      </c>
      <c r="S101" s="94">
        <v>1</v>
      </c>
      <c r="T101" s="98">
        <v>4</v>
      </c>
      <c r="U101" s="93">
        <v>5</v>
      </c>
      <c r="V101" s="160" t="e">
        <f>IF(Z101,R101*(1&amp;","&amp;Valori!$B$7),"ERRORE")</f>
        <v>#VALUE!</v>
      </c>
      <c r="W101" s="109">
        <f t="shared" si="38"/>
        <v>1</v>
      </c>
      <c r="X101" s="109">
        <f t="shared" si="38"/>
        <v>4</v>
      </c>
      <c r="Y101" s="109">
        <f t="shared" si="38"/>
        <v>5</v>
      </c>
      <c r="Z101" s="110" t="b">
        <f t="shared" si="44"/>
        <v>1</v>
      </c>
      <c r="AA101" s="153"/>
      <c r="AB101"/>
      <c r="AC101" s="284"/>
      <c r="CA101" s="7"/>
    </row>
    <row r="102" spans="1:79" s="49" customFormat="1" ht="12.75">
      <c r="A102" s="117"/>
      <c r="B102" s="30"/>
      <c r="C102" s="36"/>
      <c r="D102" s="30"/>
      <c r="E102" s="271"/>
      <c r="F102" s="35"/>
      <c r="G102" s="271"/>
      <c r="H102" s="35"/>
      <c r="I102" s="271"/>
      <c r="J102" s="35"/>
      <c r="K102" s="11"/>
      <c r="L102" s="20"/>
      <c r="M102" s="30"/>
      <c r="N102" s="21"/>
      <c r="O102" s="30"/>
      <c r="P102" s="11"/>
      <c r="Q102" s="17" t="s">
        <v>137</v>
      </c>
      <c r="R102" s="271"/>
      <c r="S102" s="22"/>
      <c r="T102" s="22"/>
      <c r="U102" s="22"/>
      <c r="V102" s="150">
        <f>IF(Istruzioni!$E$7&lt;&gt;"",Istruzioni!$G$12,"")</f>
      </c>
      <c r="W102" s="109"/>
      <c r="X102" s="109"/>
      <c r="Y102" s="109"/>
      <c r="Z102" s="109"/>
      <c r="AA102" s="150"/>
      <c r="AB102"/>
      <c r="AC102" s="284"/>
      <c r="AD102" s="285"/>
      <c r="AG102" s="48"/>
      <c r="AH102" s="48"/>
      <c r="AI102" s="48"/>
      <c r="CA102" s="11"/>
    </row>
    <row r="103" spans="1:79" ht="12.75">
      <c r="A103" s="97">
        <v>5</v>
      </c>
      <c r="B103" s="73" t="s">
        <v>30</v>
      </c>
      <c r="C103" s="162">
        <f aca="true" t="shared" si="45" ref="C103:C117">CostoMinuto</f>
      </c>
      <c r="D103" s="73" t="s">
        <v>79</v>
      </c>
      <c r="E103" s="269" t="e">
        <f aca="true" t="shared" si="46" ref="E103:E117">MinutiLavoro*CostoMinuto</f>
        <v>#VALUE!</v>
      </c>
      <c r="F103" s="74" t="s">
        <v>80</v>
      </c>
      <c r="G103" s="272" t="e">
        <f aca="true" t="shared" si="47" ref="G103:G117">Costi_Variabili/Min_Lavoro_Anno*A103</f>
        <v>#VALUE!</v>
      </c>
      <c r="H103" s="74" t="s">
        <v>80</v>
      </c>
      <c r="I103" s="269" t="e">
        <f aca="true" t="shared" si="48" ref="I103:I117">Costi_Fissi/Min_Lavoro_Anno*A103</f>
        <v>#VALUE!</v>
      </c>
      <c r="J103" s="74" t="s">
        <v>81</v>
      </c>
      <c r="K103" s="158" t="e">
        <f aca="true" t="shared" si="49" ref="K103:K117">SUM(E103+G103+I103)</f>
        <v>#VALUE!</v>
      </c>
      <c r="L103" s="164">
        <v>2.27</v>
      </c>
      <c r="M103" s="73" t="s">
        <v>30</v>
      </c>
      <c r="N103" s="97">
        <v>1</v>
      </c>
      <c r="O103" s="73" t="s">
        <v>79</v>
      </c>
      <c r="P103" s="160">
        <f>IF(Istruzioni!$E$7&lt;&gt;"",CostoUnitMatPrima*Qtà,"")</f>
      </c>
      <c r="Q103" s="72" t="s">
        <v>66</v>
      </c>
      <c r="R103" s="272" t="e">
        <f>IF(Z103,P103*(-S103*Valori!$B$14/100+1)*(T103*Valori!$C$14/100+1)*(U103*Valori!$D$14/100+1)+K103,"ERRORE")</f>
        <v>#VALUE!</v>
      </c>
      <c r="S103" s="94">
        <v>1</v>
      </c>
      <c r="T103" s="98">
        <v>2</v>
      </c>
      <c r="U103" s="93">
        <v>3</v>
      </c>
      <c r="V103" s="160" t="e">
        <f>IF(Z103,R103*(1&amp;","&amp;Valori!$B$7),"ERRORE")</f>
        <v>#VALUE!</v>
      </c>
      <c r="W103" s="109">
        <f aca="true" t="shared" si="50" ref="W103:Y117">IF(S103&lt;=0,"errore",IF(S103&gt;5,"errore",S103))</f>
        <v>1</v>
      </c>
      <c r="X103" s="109">
        <f t="shared" si="50"/>
        <v>2</v>
      </c>
      <c r="Y103" s="109">
        <f t="shared" si="50"/>
        <v>3</v>
      </c>
      <c r="Z103" s="110" t="b">
        <f aca="true" t="shared" si="51" ref="Z103:Z117">ISNUMBER(W103+X103+Y103)</f>
        <v>1</v>
      </c>
      <c r="AA103" s="152"/>
      <c r="AB103"/>
      <c r="AC103" s="284"/>
      <c r="CA103" s="7"/>
    </row>
    <row r="104" spans="1:79" ht="12.75">
      <c r="A104" s="97">
        <v>5</v>
      </c>
      <c r="B104" s="73" t="s">
        <v>30</v>
      </c>
      <c r="C104" s="162">
        <f t="shared" si="45"/>
      </c>
      <c r="D104" s="73" t="s">
        <v>79</v>
      </c>
      <c r="E104" s="269" t="e">
        <f t="shared" si="46"/>
        <v>#VALUE!</v>
      </c>
      <c r="F104" s="74" t="s">
        <v>80</v>
      </c>
      <c r="G104" s="272" t="e">
        <f t="shared" si="47"/>
        <v>#VALUE!</v>
      </c>
      <c r="H104" s="74" t="s">
        <v>80</v>
      </c>
      <c r="I104" s="269" t="e">
        <f t="shared" si="48"/>
        <v>#VALUE!</v>
      </c>
      <c r="J104" s="74" t="s">
        <v>81</v>
      </c>
      <c r="K104" s="158" t="e">
        <f t="shared" si="49"/>
        <v>#VALUE!</v>
      </c>
      <c r="L104" s="164">
        <v>3.39</v>
      </c>
      <c r="M104" s="73" t="s">
        <v>30</v>
      </c>
      <c r="N104" s="97">
        <v>1</v>
      </c>
      <c r="O104" s="73" t="s">
        <v>79</v>
      </c>
      <c r="P104" s="160">
        <f>IF(Istruzioni!$E$7&lt;&gt;"",CostoUnitMatPrima*Qtà,"")</f>
      </c>
      <c r="Q104" s="72" t="s">
        <v>67</v>
      </c>
      <c r="R104" s="272" t="e">
        <f>IF(Z104,P104*(-S104*Valori!$B$14/100+1)*(T104*Valori!$C$14/100+1)*(U104*Valori!$D$14/100+1)+K104,"ERRORE")</f>
        <v>#VALUE!</v>
      </c>
      <c r="S104" s="94">
        <v>1</v>
      </c>
      <c r="T104" s="98">
        <v>2</v>
      </c>
      <c r="U104" s="93">
        <v>3</v>
      </c>
      <c r="V104" s="160" t="e">
        <f>IF(Z104,R104*(1&amp;","&amp;Valori!$B$7),"ERRORE")</f>
        <v>#VALUE!</v>
      </c>
      <c r="W104" s="109">
        <f t="shared" si="50"/>
        <v>1</v>
      </c>
      <c r="X104" s="109">
        <f t="shared" si="50"/>
        <v>2</v>
      </c>
      <c r="Y104" s="109">
        <f t="shared" si="50"/>
        <v>3</v>
      </c>
      <c r="Z104" s="110" t="b">
        <f t="shared" si="51"/>
        <v>1</v>
      </c>
      <c r="AA104" s="153"/>
      <c r="AB104"/>
      <c r="AC104" s="284"/>
      <c r="CA104" s="7"/>
    </row>
    <row r="105" spans="1:79" ht="12.75">
      <c r="A105" s="97">
        <v>5</v>
      </c>
      <c r="B105" s="73" t="s">
        <v>30</v>
      </c>
      <c r="C105" s="162">
        <f t="shared" si="45"/>
      </c>
      <c r="D105" s="73" t="s">
        <v>79</v>
      </c>
      <c r="E105" s="269" t="e">
        <f t="shared" si="46"/>
        <v>#VALUE!</v>
      </c>
      <c r="F105" s="74" t="s">
        <v>80</v>
      </c>
      <c r="G105" s="272" t="e">
        <f t="shared" si="47"/>
        <v>#VALUE!</v>
      </c>
      <c r="H105" s="74" t="s">
        <v>80</v>
      </c>
      <c r="I105" s="269" t="e">
        <f t="shared" si="48"/>
        <v>#VALUE!</v>
      </c>
      <c r="J105" s="74" t="s">
        <v>81</v>
      </c>
      <c r="K105" s="158" t="e">
        <f t="shared" si="49"/>
        <v>#VALUE!</v>
      </c>
      <c r="L105" s="164">
        <v>10.19</v>
      </c>
      <c r="M105" s="73" t="s">
        <v>30</v>
      </c>
      <c r="N105" s="97">
        <v>1</v>
      </c>
      <c r="O105" s="73" t="s">
        <v>79</v>
      </c>
      <c r="P105" s="160">
        <f>IF(Istruzioni!$E$7&lt;&gt;"",CostoUnitMatPrima*Qtà,"")</f>
      </c>
      <c r="Q105" s="72" t="s">
        <v>68</v>
      </c>
      <c r="R105" s="272" t="e">
        <f>IF(Z105,P105*(-S105*Valori!$B$14/100+1)*(T105*Valori!$C$14/100+1)*(U105*Valori!$D$14/100+1)+K105,"ERRORE")</f>
        <v>#VALUE!</v>
      </c>
      <c r="S105" s="94">
        <v>1</v>
      </c>
      <c r="T105" s="98">
        <v>2</v>
      </c>
      <c r="U105" s="93">
        <v>3</v>
      </c>
      <c r="V105" s="160" t="e">
        <f>IF(Z105,R105*(1&amp;","&amp;Valori!$B$7),"ERRORE")</f>
        <v>#VALUE!</v>
      </c>
      <c r="W105" s="109">
        <f t="shared" si="50"/>
        <v>1</v>
      </c>
      <c r="X105" s="109">
        <f t="shared" si="50"/>
        <v>2</v>
      </c>
      <c r="Y105" s="109">
        <f t="shared" si="50"/>
        <v>3</v>
      </c>
      <c r="Z105" s="110" t="b">
        <f t="shared" si="51"/>
        <v>1</v>
      </c>
      <c r="AA105" s="153"/>
      <c r="AB105"/>
      <c r="AC105" s="284"/>
      <c r="CA105" s="7"/>
    </row>
    <row r="106" spans="1:79" ht="12.75">
      <c r="A106" s="97">
        <v>5</v>
      </c>
      <c r="B106" s="73" t="s">
        <v>30</v>
      </c>
      <c r="C106" s="162">
        <f t="shared" si="45"/>
      </c>
      <c r="D106" s="73" t="s">
        <v>79</v>
      </c>
      <c r="E106" s="269" t="e">
        <f t="shared" si="46"/>
        <v>#VALUE!</v>
      </c>
      <c r="F106" s="74" t="s">
        <v>80</v>
      </c>
      <c r="G106" s="272" t="e">
        <f t="shared" si="47"/>
        <v>#VALUE!</v>
      </c>
      <c r="H106" s="74" t="s">
        <v>80</v>
      </c>
      <c r="I106" s="269" t="e">
        <f t="shared" si="48"/>
        <v>#VALUE!</v>
      </c>
      <c r="J106" s="74" t="s">
        <v>81</v>
      </c>
      <c r="K106" s="158" t="e">
        <f t="shared" si="49"/>
        <v>#VALUE!</v>
      </c>
      <c r="L106" s="164">
        <v>16.18</v>
      </c>
      <c r="M106" s="73" t="s">
        <v>30</v>
      </c>
      <c r="N106" s="97">
        <v>1</v>
      </c>
      <c r="O106" s="73" t="s">
        <v>79</v>
      </c>
      <c r="P106" s="160">
        <f>IF(Istruzioni!$E$7&lt;&gt;"",CostoUnitMatPrima*Qtà,"")</f>
      </c>
      <c r="Q106" s="72" t="s">
        <v>69</v>
      </c>
      <c r="R106" s="272" t="e">
        <f>IF(Z106,P106*(-S106*Valori!$B$14/100+1)*(T106*Valori!$C$14/100+1)*(U106*Valori!$D$14/100+1)+K106,"ERRORE")</f>
        <v>#VALUE!</v>
      </c>
      <c r="S106" s="94">
        <v>1</v>
      </c>
      <c r="T106" s="98">
        <v>2</v>
      </c>
      <c r="U106" s="93">
        <v>3</v>
      </c>
      <c r="V106" s="160" t="e">
        <f>IF(Z106,R106*(1&amp;","&amp;Valori!$B$7),"ERRORE")</f>
        <v>#VALUE!</v>
      </c>
      <c r="W106" s="109">
        <f t="shared" si="50"/>
        <v>1</v>
      </c>
      <c r="X106" s="109">
        <f t="shared" si="50"/>
        <v>2</v>
      </c>
      <c r="Y106" s="109">
        <f t="shared" si="50"/>
        <v>3</v>
      </c>
      <c r="Z106" s="110" t="b">
        <f t="shared" si="51"/>
        <v>1</v>
      </c>
      <c r="AA106" s="153"/>
      <c r="AB106"/>
      <c r="AC106" s="284"/>
      <c r="CA106" s="7"/>
    </row>
    <row r="107" spans="1:79" ht="12.75">
      <c r="A107" s="97">
        <v>5</v>
      </c>
      <c r="B107" s="73" t="s">
        <v>30</v>
      </c>
      <c r="C107" s="162">
        <f t="shared" si="45"/>
      </c>
      <c r="D107" s="73" t="s">
        <v>79</v>
      </c>
      <c r="E107" s="269" t="e">
        <f t="shared" si="46"/>
        <v>#VALUE!</v>
      </c>
      <c r="F107" s="74" t="s">
        <v>80</v>
      </c>
      <c r="G107" s="272" t="e">
        <f t="shared" si="47"/>
        <v>#VALUE!</v>
      </c>
      <c r="H107" s="74" t="s">
        <v>80</v>
      </c>
      <c r="I107" s="269" t="e">
        <f t="shared" si="48"/>
        <v>#VALUE!</v>
      </c>
      <c r="J107" s="74" t="s">
        <v>81</v>
      </c>
      <c r="K107" s="158" t="e">
        <f t="shared" si="49"/>
        <v>#VALUE!</v>
      </c>
      <c r="L107" s="164">
        <v>22.3</v>
      </c>
      <c r="M107" s="73" t="s">
        <v>30</v>
      </c>
      <c r="N107" s="97">
        <v>1</v>
      </c>
      <c r="O107" s="73" t="s">
        <v>79</v>
      </c>
      <c r="P107" s="160">
        <f>IF(Istruzioni!$E$7&lt;&gt;"",CostoUnitMatPrima*Qtà,"")</f>
      </c>
      <c r="Q107" s="72" t="s">
        <v>70</v>
      </c>
      <c r="R107" s="272" t="e">
        <f>IF(Z107,P107*(-S107*Valori!$B$14/100+1)*(T107*Valori!$C$14/100+1)*(U107*Valori!$D$14/100+1)+K107,"ERRORE")</f>
        <v>#VALUE!</v>
      </c>
      <c r="S107" s="94">
        <v>1</v>
      </c>
      <c r="T107" s="98">
        <v>2</v>
      </c>
      <c r="U107" s="93">
        <v>3</v>
      </c>
      <c r="V107" s="160" t="e">
        <f>IF(Z107,R107*(1&amp;","&amp;Valori!$B$7),"ERRORE")</f>
        <v>#VALUE!</v>
      </c>
      <c r="W107" s="109">
        <f t="shared" si="50"/>
        <v>1</v>
      </c>
      <c r="X107" s="109">
        <f t="shared" si="50"/>
        <v>2</v>
      </c>
      <c r="Y107" s="109">
        <f t="shared" si="50"/>
        <v>3</v>
      </c>
      <c r="Z107" s="110" t="b">
        <f t="shared" si="51"/>
        <v>1</v>
      </c>
      <c r="AA107" s="153"/>
      <c r="AB107"/>
      <c r="AC107" s="284"/>
      <c r="CA107" s="7"/>
    </row>
    <row r="108" spans="1:79" ht="12.75">
      <c r="A108" s="97">
        <v>5</v>
      </c>
      <c r="B108" s="73" t="s">
        <v>30</v>
      </c>
      <c r="C108" s="162">
        <f t="shared" si="45"/>
      </c>
      <c r="D108" s="73" t="s">
        <v>79</v>
      </c>
      <c r="E108" s="269" t="e">
        <f t="shared" si="46"/>
        <v>#VALUE!</v>
      </c>
      <c r="F108" s="74" t="s">
        <v>80</v>
      </c>
      <c r="G108" s="272" t="e">
        <f t="shared" si="47"/>
        <v>#VALUE!</v>
      </c>
      <c r="H108" s="74" t="s">
        <v>80</v>
      </c>
      <c r="I108" s="269" t="e">
        <f t="shared" si="48"/>
        <v>#VALUE!</v>
      </c>
      <c r="J108" s="74" t="s">
        <v>81</v>
      </c>
      <c r="K108" s="158" t="e">
        <f t="shared" si="49"/>
        <v>#VALUE!</v>
      </c>
      <c r="L108" s="164">
        <v>3.55</v>
      </c>
      <c r="M108" s="73" t="s">
        <v>30</v>
      </c>
      <c r="N108" s="97">
        <v>1</v>
      </c>
      <c r="O108" s="73" t="s">
        <v>79</v>
      </c>
      <c r="P108" s="160">
        <f>IF(Istruzioni!$E$7&lt;&gt;"",CostoUnitMatPrima*Qtà,"")</f>
      </c>
      <c r="Q108" s="72" t="s">
        <v>121</v>
      </c>
      <c r="R108" s="272" t="e">
        <f>IF(Z108,P108*(-S108*Valori!$B$14/100+1)*(T108*Valori!$C$14/100+1)*(U108*Valori!$D$14/100+1)+K108,"ERRORE")</f>
        <v>#VALUE!</v>
      </c>
      <c r="S108" s="94">
        <v>1</v>
      </c>
      <c r="T108" s="98">
        <v>2</v>
      </c>
      <c r="U108" s="93">
        <v>3</v>
      </c>
      <c r="V108" s="160" t="e">
        <f>IF(Z108,R108*(1&amp;","&amp;Valori!$B$7),"ERRORE")</f>
        <v>#VALUE!</v>
      </c>
      <c r="W108" s="109">
        <f t="shared" si="50"/>
        <v>1</v>
      </c>
      <c r="X108" s="109">
        <f t="shared" si="50"/>
        <v>2</v>
      </c>
      <c r="Y108" s="109">
        <f t="shared" si="50"/>
        <v>3</v>
      </c>
      <c r="Z108" s="110" t="b">
        <f t="shared" si="51"/>
        <v>1</v>
      </c>
      <c r="AA108" s="153"/>
      <c r="AB108"/>
      <c r="AC108" s="284"/>
      <c r="CA108" s="7"/>
    </row>
    <row r="109" spans="1:79" ht="12.75">
      <c r="A109" s="97">
        <v>5</v>
      </c>
      <c r="B109" s="73" t="s">
        <v>30</v>
      </c>
      <c r="C109" s="162">
        <f t="shared" si="45"/>
      </c>
      <c r="D109" s="73" t="s">
        <v>79</v>
      </c>
      <c r="E109" s="269" t="e">
        <f t="shared" si="46"/>
        <v>#VALUE!</v>
      </c>
      <c r="F109" s="74" t="s">
        <v>80</v>
      </c>
      <c r="G109" s="272" t="e">
        <f t="shared" si="47"/>
        <v>#VALUE!</v>
      </c>
      <c r="H109" s="74" t="s">
        <v>80</v>
      </c>
      <c r="I109" s="269" t="e">
        <f t="shared" si="48"/>
        <v>#VALUE!</v>
      </c>
      <c r="J109" s="74" t="s">
        <v>81</v>
      </c>
      <c r="K109" s="158" t="e">
        <f t="shared" si="49"/>
        <v>#VALUE!</v>
      </c>
      <c r="L109" s="164">
        <v>6.61</v>
      </c>
      <c r="M109" s="73" t="s">
        <v>30</v>
      </c>
      <c r="N109" s="97">
        <v>1</v>
      </c>
      <c r="O109" s="73" t="s">
        <v>79</v>
      </c>
      <c r="P109" s="160">
        <f>IF(Istruzioni!$E$7&lt;&gt;"",CostoUnitMatPrima*Qtà,"")</f>
      </c>
      <c r="Q109" s="72" t="s">
        <v>122</v>
      </c>
      <c r="R109" s="272" t="e">
        <f>IF(Z109,P109*(-S109*Valori!$B$14/100+1)*(T109*Valori!$C$14/100+1)*(U109*Valori!$D$14/100+1)+K109,"ERRORE")</f>
        <v>#VALUE!</v>
      </c>
      <c r="S109" s="94">
        <v>1</v>
      </c>
      <c r="T109" s="98">
        <v>2</v>
      </c>
      <c r="U109" s="93">
        <v>3</v>
      </c>
      <c r="V109" s="160" t="e">
        <f>IF(Z109,R109*(1&amp;","&amp;Valori!$B$7),"ERRORE")</f>
        <v>#VALUE!</v>
      </c>
      <c r="W109" s="109">
        <f t="shared" si="50"/>
        <v>1</v>
      </c>
      <c r="X109" s="109">
        <f t="shared" si="50"/>
        <v>2</v>
      </c>
      <c r="Y109" s="109">
        <f t="shared" si="50"/>
        <v>3</v>
      </c>
      <c r="Z109" s="110" t="b">
        <f t="shared" si="51"/>
        <v>1</v>
      </c>
      <c r="AA109" s="153"/>
      <c r="AB109"/>
      <c r="AC109" s="284"/>
      <c r="CA109" s="7"/>
    </row>
    <row r="110" spans="1:79" ht="12.75">
      <c r="A110" s="97">
        <v>5</v>
      </c>
      <c r="B110" s="73" t="s">
        <v>30</v>
      </c>
      <c r="C110" s="162">
        <f t="shared" si="45"/>
      </c>
      <c r="D110" s="73" t="s">
        <v>79</v>
      </c>
      <c r="E110" s="269" t="e">
        <f t="shared" si="46"/>
        <v>#VALUE!</v>
      </c>
      <c r="F110" s="74" t="s">
        <v>80</v>
      </c>
      <c r="G110" s="272" t="e">
        <f t="shared" si="47"/>
        <v>#VALUE!</v>
      </c>
      <c r="H110" s="74" t="s">
        <v>80</v>
      </c>
      <c r="I110" s="269" t="e">
        <f t="shared" si="48"/>
        <v>#VALUE!</v>
      </c>
      <c r="J110" s="74" t="s">
        <v>81</v>
      </c>
      <c r="K110" s="158" t="e">
        <f t="shared" si="49"/>
        <v>#VALUE!</v>
      </c>
      <c r="L110" s="164">
        <v>12.47</v>
      </c>
      <c r="M110" s="73" t="s">
        <v>30</v>
      </c>
      <c r="N110" s="97">
        <v>1</v>
      </c>
      <c r="O110" s="73" t="s">
        <v>79</v>
      </c>
      <c r="P110" s="160">
        <f>IF(Istruzioni!$E$7&lt;&gt;"",CostoUnitMatPrima*Qtà,"")</f>
      </c>
      <c r="Q110" s="72" t="s">
        <v>123</v>
      </c>
      <c r="R110" s="272" t="e">
        <f>IF(Z110,P110*(-S110*Valori!$B$14/100+1)*(T110*Valori!$C$14/100+1)*(U110*Valori!$D$14/100+1)+K110,"ERRORE")</f>
        <v>#VALUE!</v>
      </c>
      <c r="S110" s="94">
        <v>1</v>
      </c>
      <c r="T110" s="98">
        <v>2</v>
      </c>
      <c r="U110" s="93">
        <v>3</v>
      </c>
      <c r="V110" s="160" t="e">
        <f>IF(Z110,R110*(1&amp;","&amp;Valori!$B$7),"ERRORE")</f>
        <v>#VALUE!</v>
      </c>
      <c r="W110" s="109">
        <f t="shared" si="50"/>
        <v>1</v>
      </c>
      <c r="X110" s="109">
        <f t="shared" si="50"/>
        <v>2</v>
      </c>
      <c r="Y110" s="109">
        <f t="shared" si="50"/>
        <v>3</v>
      </c>
      <c r="Z110" s="110" t="b">
        <f t="shared" si="51"/>
        <v>1</v>
      </c>
      <c r="AA110" s="153"/>
      <c r="AB110"/>
      <c r="AC110" s="284"/>
      <c r="CA110" s="7"/>
    </row>
    <row r="111" spans="1:79" ht="12.75">
      <c r="A111" s="97">
        <v>5</v>
      </c>
      <c r="B111" s="73" t="s">
        <v>30</v>
      </c>
      <c r="C111" s="162">
        <f t="shared" si="45"/>
      </c>
      <c r="D111" s="73" t="s">
        <v>79</v>
      </c>
      <c r="E111" s="269" t="e">
        <f t="shared" si="46"/>
        <v>#VALUE!</v>
      </c>
      <c r="F111" s="74" t="s">
        <v>80</v>
      </c>
      <c r="G111" s="272" t="e">
        <f t="shared" si="47"/>
        <v>#VALUE!</v>
      </c>
      <c r="H111" s="74" t="s">
        <v>80</v>
      </c>
      <c r="I111" s="269" t="e">
        <f t="shared" si="48"/>
        <v>#VALUE!</v>
      </c>
      <c r="J111" s="74" t="s">
        <v>81</v>
      </c>
      <c r="K111" s="158" t="e">
        <f t="shared" si="49"/>
        <v>#VALUE!</v>
      </c>
      <c r="L111" s="164">
        <v>19.99</v>
      </c>
      <c r="M111" s="73" t="s">
        <v>30</v>
      </c>
      <c r="N111" s="97">
        <v>1</v>
      </c>
      <c r="O111" s="73" t="s">
        <v>79</v>
      </c>
      <c r="P111" s="160">
        <f>IF(Istruzioni!$E$7&lt;&gt;"",CostoUnitMatPrima*Qtà,"")</f>
      </c>
      <c r="Q111" s="72" t="s">
        <v>124</v>
      </c>
      <c r="R111" s="272" t="e">
        <f>IF(Z111,P111*(-S111*Valori!$B$14/100+1)*(T111*Valori!$C$14/100+1)*(U111*Valori!$D$14/100+1)+K111,"ERRORE")</f>
        <v>#VALUE!</v>
      </c>
      <c r="S111" s="94">
        <v>1</v>
      </c>
      <c r="T111" s="98">
        <v>2</v>
      </c>
      <c r="U111" s="93">
        <v>3</v>
      </c>
      <c r="V111" s="160" t="e">
        <f>IF(Z111,R111*(1&amp;","&amp;Valori!$B$7),"ERRORE")</f>
        <v>#VALUE!</v>
      </c>
      <c r="W111" s="109">
        <f t="shared" si="50"/>
        <v>1</v>
      </c>
      <c r="X111" s="109">
        <f t="shared" si="50"/>
        <v>2</v>
      </c>
      <c r="Y111" s="109">
        <f t="shared" si="50"/>
        <v>3</v>
      </c>
      <c r="Z111" s="110" t="b">
        <f t="shared" si="51"/>
        <v>1</v>
      </c>
      <c r="AA111" s="153"/>
      <c r="AB111"/>
      <c r="AC111" s="284"/>
      <c r="CA111" s="7"/>
    </row>
    <row r="112" spans="1:79" ht="12.75">
      <c r="A112" s="97">
        <v>5</v>
      </c>
      <c r="B112" s="73" t="s">
        <v>30</v>
      </c>
      <c r="C112" s="162">
        <f t="shared" si="45"/>
      </c>
      <c r="D112" s="73" t="s">
        <v>79</v>
      </c>
      <c r="E112" s="269" t="e">
        <f t="shared" si="46"/>
        <v>#VALUE!</v>
      </c>
      <c r="F112" s="74" t="s">
        <v>80</v>
      </c>
      <c r="G112" s="272" t="e">
        <f t="shared" si="47"/>
        <v>#VALUE!</v>
      </c>
      <c r="H112" s="74" t="s">
        <v>80</v>
      </c>
      <c r="I112" s="269" t="e">
        <f t="shared" si="48"/>
        <v>#VALUE!</v>
      </c>
      <c r="J112" s="74" t="s">
        <v>81</v>
      </c>
      <c r="K112" s="158" t="e">
        <f t="shared" si="49"/>
        <v>#VALUE!</v>
      </c>
      <c r="L112" s="164">
        <v>28.75</v>
      </c>
      <c r="M112" s="73" t="s">
        <v>30</v>
      </c>
      <c r="N112" s="97">
        <v>1</v>
      </c>
      <c r="O112" s="73" t="s">
        <v>79</v>
      </c>
      <c r="P112" s="160">
        <f>IF(Istruzioni!$E$7&lt;&gt;"",CostoUnitMatPrima*Qtà,"")</f>
      </c>
      <c r="Q112" s="72" t="s">
        <v>37</v>
      </c>
      <c r="R112" s="272" t="e">
        <f>IF(Z112,P112*(-S112*Valori!$B$14/100+1)*(T112*Valori!$C$14/100+1)*(U112*Valori!$D$14/100+1)+K112,"ERRORE")</f>
        <v>#VALUE!</v>
      </c>
      <c r="S112" s="94">
        <v>1</v>
      </c>
      <c r="T112" s="98">
        <v>2</v>
      </c>
      <c r="U112" s="93">
        <v>3</v>
      </c>
      <c r="V112" s="160" t="e">
        <f>IF(Z112,R112*(1&amp;","&amp;Valori!$B$7),"ERRORE")</f>
        <v>#VALUE!</v>
      </c>
      <c r="W112" s="109">
        <f t="shared" si="50"/>
        <v>1</v>
      </c>
      <c r="X112" s="109">
        <f t="shared" si="50"/>
        <v>2</v>
      </c>
      <c r="Y112" s="109">
        <f t="shared" si="50"/>
        <v>3</v>
      </c>
      <c r="Z112" s="110" t="b">
        <f t="shared" si="51"/>
        <v>1</v>
      </c>
      <c r="AA112" s="153"/>
      <c r="AB112"/>
      <c r="AC112" s="284"/>
      <c r="CA112" s="7"/>
    </row>
    <row r="113" spans="1:79" ht="12.75">
      <c r="A113" s="97">
        <v>5</v>
      </c>
      <c r="B113" s="73" t="s">
        <v>30</v>
      </c>
      <c r="C113" s="162">
        <f t="shared" si="45"/>
      </c>
      <c r="D113" s="73" t="s">
        <v>79</v>
      </c>
      <c r="E113" s="269" t="e">
        <f t="shared" si="46"/>
        <v>#VALUE!</v>
      </c>
      <c r="F113" s="74" t="s">
        <v>80</v>
      </c>
      <c r="G113" s="272" t="e">
        <f t="shared" si="47"/>
        <v>#VALUE!</v>
      </c>
      <c r="H113" s="74" t="s">
        <v>80</v>
      </c>
      <c r="I113" s="269" t="e">
        <f t="shared" si="48"/>
        <v>#VALUE!</v>
      </c>
      <c r="J113" s="74" t="s">
        <v>81</v>
      </c>
      <c r="K113" s="158" t="e">
        <f t="shared" si="49"/>
        <v>#VALUE!</v>
      </c>
      <c r="L113" s="164">
        <v>6.66</v>
      </c>
      <c r="M113" s="73" t="s">
        <v>30</v>
      </c>
      <c r="N113" s="97">
        <v>1</v>
      </c>
      <c r="O113" s="73" t="s">
        <v>79</v>
      </c>
      <c r="P113" s="160">
        <f>IF(Istruzioni!$E$7&lt;&gt;"",CostoUnitMatPrima*Qtà,"")</f>
      </c>
      <c r="Q113" s="72" t="s">
        <v>138</v>
      </c>
      <c r="R113" s="272" t="e">
        <f>IF(Z113,P113*(-S113*Valori!$B$14/100+1)*(T113*Valori!$C$14/100+1)*(U113*Valori!$D$14/100+1)+K113,"ERRORE")</f>
        <v>#VALUE!</v>
      </c>
      <c r="S113" s="94">
        <v>1</v>
      </c>
      <c r="T113" s="98">
        <v>2</v>
      </c>
      <c r="U113" s="93">
        <v>3</v>
      </c>
      <c r="V113" s="160" t="e">
        <f>IF(Z113,R113*(1&amp;","&amp;Valori!$B$7),"ERRORE")</f>
        <v>#VALUE!</v>
      </c>
      <c r="W113" s="109">
        <f t="shared" si="50"/>
        <v>1</v>
      </c>
      <c r="X113" s="109">
        <f t="shared" si="50"/>
        <v>2</v>
      </c>
      <c r="Y113" s="109">
        <f t="shared" si="50"/>
        <v>3</v>
      </c>
      <c r="Z113" s="110" t="b">
        <f t="shared" si="51"/>
        <v>1</v>
      </c>
      <c r="AA113" s="153"/>
      <c r="AB113"/>
      <c r="AC113" s="284"/>
      <c r="CA113" s="7"/>
    </row>
    <row r="114" spans="1:79" ht="12.75">
      <c r="A114" s="97">
        <v>5</v>
      </c>
      <c r="B114" s="73" t="s">
        <v>30</v>
      </c>
      <c r="C114" s="162">
        <f t="shared" si="45"/>
      </c>
      <c r="D114" s="73" t="s">
        <v>79</v>
      </c>
      <c r="E114" s="269" t="e">
        <f t="shared" si="46"/>
        <v>#VALUE!</v>
      </c>
      <c r="F114" s="74" t="s">
        <v>80</v>
      </c>
      <c r="G114" s="272" t="e">
        <f t="shared" si="47"/>
        <v>#VALUE!</v>
      </c>
      <c r="H114" s="74" t="s">
        <v>80</v>
      </c>
      <c r="I114" s="269" t="e">
        <f t="shared" si="48"/>
        <v>#VALUE!</v>
      </c>
      <c r="J114" s="74" t="s">
        <v>81</v>
      </c>
      <c r="K114" s="158" t="e">
        <f t="shared" si="49"/>
        <v>#VALUE!</v>
      </c>
      <c r="L114" s="164">
        <v>10.12</v>
      </c>
      <c r="M114" s="73" t="s">
        <v>30</v>
      </c>
      <c r="N114" s="97">
        <v>1</v>
      </c>
      <c r="O114" s="73" t="s">
        <v>79</v>
      </c>
      <c r="P114" s="160">
        <f>IF(Istruzioni!$E$7&lt;&gt;"",CostoUnitMatPrima*Qtà,"")</f>
      </c>
      <c r="Q114" s="72" t="s">
        <v>139</v>
      </c>
      <c r="R114" s="272" t="e">
        <f>IF(Z114,P114*(-S114*Valori!$B$14/100+1)*(T114*Valori!$C$14/100+1)*(U114*Valori!$D$14/100+1)+K114,"ERRORE")</f>
        <v>#VALUE!</v>
      </c>
      <c r="S114" s="94">
        <v>1</v>
      </c>
      <c r="T114" s="98">
        <v>2</v>
      </c>
      <c r="U114" s="93">
        <v>3</v>
      </c>
      <c r="V114" s="160" t="e">
        <f>IF(Z114,R114*(1&amp;","&amp;Valori!$B$7),"ERRORE")</f>
        <v>#VALUE!</v>
      </c>
      <c r="W114" s="109">
        <f t="shared" si="50"/>
        <v>1</v>
      </c>
      <c r="X114" s="109">
        <f t="shared" si="50"/>
        <v>2</v>
      </c>
      <c r="Y114" s="109">
        <f t="shared" si="50"/>
        <v>3</v>
      </c>
      <c r="Z114" s="110" t="b">
        <f t="shared" si="51"/>
        <v>1</v>
      </c>
      <c r="AA114" s="153"/>
      <c r="AB114"/>
      <c r="AC114" s="284"/>
      <c r="CA114" s="7"/>
    </row>
    <row r="115" spans="1:79" ht="12.75">
      <c r="A115" s="97">
        <v>5</v>
      </c>
      <c r="B115" s="73" t="s">
        <v>30</v>
      </c>
      <c r="C115" s="162">
        <f t="shared" si="45"/>
      </c>
      <c r="D115" s="73" t="s">
        <v>79</v>
      </c>
      <c r="E115" s="269" t="e">
        <f t="shared" si="46"/>
        <v>#VALUE!</v>
      </c>
      <c r="F115" s="74" t="s">
        <v>80</v>
      </c>
      <c r="G115" s="272" t="e">
        <f t="shared" si="47"/>
        <v>#VALUE!</v>
      </c>
      <c r="H115" s="74" t="s">
        <v>80</v>
      </c>
      <c r="I115" s="269" t="e">
        <f t="shared" si="48"/>
        <v>#VALUE!</v>
      </c>
      <c r="J115" s="74" t="s">
        <v>81</v>
      </c>
      <c r="K115" s="158" t="e">
        <f t="shared" si="49"/>
        <v>#VALUE!</v>
      </c>
      <c r="L115" s="164">
        <v>20.12</v>
      </c>
      <c r="M115" s="73" t="s">
        <v>30</v>
      </c>
      <c r="N115" s="97">
        <v>1</v>
      </c>
      <c r="O115" s="73" t="s">
        <v>79</v>
      </c>
      <c r="P115" s="160">
        <f>IF(Istruzioni!$E$7&lt;&gt;"",CostoUnitMatPrima*Qtà,"")</f>
      </c>
      <c r="Q115" s="72" t="s">
        <v>140</v>
      </c>
      <c r="R115" s="272" t="e">
        <f>IF(Z115,P115*(-S115*Valori!$B$14/100+1)*(T115*Valori!$C$14/100+1)*(U115*Valori!$D$14/100+1)+K115,"ERRORE")</f>
        <v>#VALUE!</v>
      </c>
      <c r="S115" s="94">
        <v>1</v>
      </c>
      <c r="T115" s="98">
        <v>2</v>
      </c>
      <c r="U115" s="93">
        <v>3</v>
      </c>
      <c r="V115" s="160" t="e">
        <f>IF(Z115,R115*(1&amp;","&amp;Valori!$B$7),"ERRORE")</f>
        <v>#VALUE!</v>
      </c>
      <c r="W115" s="109">
        <f t="shared" si="50"/>
        <v>1</v>
      </c>
      <c r="X115" s="109">
        <f t="shared" si="50"/>
        <v>2</v>
      </c>
      <c r="Y115" s="109">
        <f t="shared" si="50"/>
        <v>3</v>
      </c>
      <c r="Z115" s="110" t="b">
        <f t="shared" si="51"/>
        <v>1</v>
      </c>
      <c r="AA115" s="153"/>
      <c r="AB115"/>
      <c r="AC115" s="284"/>
      <c r="CA115" s="7"/>
    </row>
    <row r="116" spans="1:79" ht="12.75">
      <c r="A116" s="97">
        <v>5</v>
      </c>
      <c r="B116" s="73" t="s">
        <v>30</v>
      </c>
      <c r="C116" s="162">
        <f t="shared" si="45"/>
      </c>
      <c r="D116" s="73" t="s">
        <v>79</v>
      </c>
      <c r="E116" s="269" t="e">
        <f t="shared" si="46"/>
        <v>#VALUE!</v>
      </c>
      <c r="F116" s="74" t="s">
        <v>80</v>
      </c>
      <c r="G116" s="272" t="e">
        <f t="shared" si="47"/>
        <v>#VALUE!</v>
      </c>
      <c r="H116" s="74" t="s">
        <v>80</v>
      </c>
      <c r="I116" s="269" t="e">
        <f t="shared" si="48"/>
        <v>#VALUE!</v>
      </c>
      <c r="J116" s="74" t="s">
        <v>81</v>
      </c>
      <c r="K116" s="158" t="e">
        <f t="shared" si="49"/>
        <v>#VALUE!</v>
      </c>
      <c r="L116" s="164">
        <v>26.96</v>
      </c>
      <c r="M116" s="73" t="s">
        <v>30</v>
      </c>
      <c r="N116" s="97">
        <v>1</v>
      </c>
      <c r="O116" s="73" t="s">
        <v>79</v>
      </c>
      <c r="P116" s="160">
        <f>IF(Istruzioni!$E$7&lt;&gt;"",CostoUnitMatPrima*Qtà,"")</f>
      </c>
      <c r="Q116" s="72" t="s">
        <v>49</v>
      </c>
      <c r="R116" s="272" t="e">
        <f>IF(Z116,P116*(-S116*Valori!$B$14/100+1)*(T116*Valori!$C$14/100+1)*(U116*Valori!$D$14/100+1)+K116,"ERRORE")</f>
        <v>#VALUE!</v>
      </c>
      <c r="S116" s="94">
        <v>1</v>
      </c>
      <c r="T116" s="98">
        <v>2</v>
      </c>
      <c r="U116" s="93">
        <v>3</v>
      </c>
      <c r="V116" s="160" t="e">
        <f>IF(Z116,R116*(1&amp;","&amp;Valori!$B$7),"ERRORE")</f>
        <v>#VALUE!</v>
      </c>
      <c r="W116" s="109">
        <f t="shared" si="50"/>
        <v>1</v>
      </c>
      <c r="X116" s="109">
        <f t="shared" si="50"/>
        <v>2</v>
      </c>
      <c r="Y116" s="109">
        <f t="shared" si="50"/>
        <v>3</v>
      </c>
      <c r="Z116" s="110" t="b">
        <f t="shared" si="51"/>
        <v>1</v>
      </c>
      <c r="AA116" s="153"/>
      <c r="AB116"/>
      <c r="AC116" s="284"/>
      <c r="CA116" s="7"/>
    </row>
    <row r="117" spans="1:79" ht="12.75">
      <c r="A117" s="97">
        <v>5</v>
      </c>
      <c r="B117" s="73" t="s">
        <v>30</v>
      </c>
      <c r="C117" s="162">
        <f t="shared" si="45"/>
      </c>
      <c r="D117" s="73" t="s">
        <v>79</v>
      </c>
      <c r="E117" s="269" t="e">
        <f t="shared" si="46"/>
        <v>#VALUE!</v>
      </c>
      <c r="F117" s="74" t="s">
        <v>80</v>
      </c>
      <c r="G117" s="272" t="e">
        <f t="shared" si="47"/>
        <v>#VALUE!</v>
      </c>
      <c r="H117" s="74" t="s">
        <v>80</v>
      </c>
      <c r="I117" s="269" t="e">
        <f t="shared" si="48"/>
        <v>#VALUE!</v>
      </c>
      <c r="J117" s="74" t="s">
        <v>81</v>
      </c>
      <c r="K117" s="158" t="e">
        <f t="shared" si="49"/>
        <v>#VALUE!</v>
      </c>
      <c r="L117" s="164">
        <v>43.86</v>
      </c>
      <c r="M117" s="73" t="s">
        <v>30</v>
      </c>
      <c r="N117" s="97">
        <v>1</v>
      </c>
      <c r="O117" s="73" t="s">
        <v>79</v>
      </c>
      <c r="P117" s="160">
        <f>IF(Istruzioni!$E$7&lt;&gt;"",CostoUnitMatPrima*Qtà,"")</f>
      </c>
      <c r="Q117" s="72" t="s">
        <v>50</v>
      </c>
      <c r="R117" s="272" t="e">
        <f>IF(Z117,P117*(-S117*Valori!$B$14/100+1)*(T117*Valori!$C$14/100+1)*(U117*Valori!$D$14/100+1)+K117,"ERRORE")</f>
        <v>#VALUE!</v>
      </c>
      <c r="S117" s="94">
        <v>1</v>
      </c>
      <c r="T117" s="98">
        <v>2</v>
      </c>
      <c r="U117" s="93">
        <v>3</v>
      </c>
      <c r="V117" s="160" t="e">
        <f>IF(Z117,R117*(1&amp;","&amp;Valori!$B$7),"ERRORE")</f>
        <v>#VALUE!</v>
      </c>
      <c r="W117" s="109">
        <f t="shared" si="50"/>
        <v>1</v>
      </c>
      <c r="X117" s="109">
        <f t="shared" si="50"/>
        <v>2</v>
      </c>
      <c r="Y117" s="109">
        <f t="shared" si="50"/>
        <v>3</v>
      </c>
      <c r="Z117" s="110" t="b">
        <f t="shared" si="51"/>
        <v>1</v>
      </c>
      <c r="AA117" s="153"/>
      <c r="AB117"/>
      <c r="AC117" s="284"/>
      <c r="CA117" s="7"/>
    </row>
    <row r="118" spans="1:79" s="49" customFormat="1" ht="12.75">
      <c r="A118" s="117"/>
      <c r="B118" s="30"/>
      <c r="C118" s="36"/>
      <c r="D118" s="30"/>
      <c r="E118" s="271"/>
      <c r="F118" s="35"/>
      <c r="G118" s="271"/>
      <c r="H118" s="35"/>
      <c r="I118" s="271"/>
      <c r="J118" s="35"/>
      <c r="K118" s="11"/>
      <c r="L118" s="20"/>
      <c r="M118" s="30"/>
      <c r="N118" s="21"/>
      <c r="O118" s="30"/>
      <c r="P118" s="11"/>
      <c r="Q118" s="17" t="s">
        <v>51</v>
      </c>
      <c r="R118" s="271"/>
      <c r="S118" s="22"/>
      <c r="T118" s="22"/>
      <c r="U118" s="22"/>
      <c r="V118" s="150">
        <f>IF(Istruzioni!$E$7&lt;&gt;"",Istruzioni!$G$12,"")</f>
      </c>
      <c r="W118" s="109"/>
      <c r="X118" s="109"/>
      <c r="Y118" s="109"/>
      <c r="Z118" s="109"/>
      <c r="AA118" s="150"/>
      <c r="AB118"/>
      <c r="AC118" s="284"/>
      <c r="AD118" s="285"/>
      <c r="AG118" s="48"/>
      <c r="AH118" s="48"/>
      <c r="AI118" s="48"/>
      <c r="CA118" s="11"/>
    </row>
    <row r="119" spans="1:79" ht="12.75">
      <c r="A119" s="97">
        <v>5</v>
      </c>
      <c r="B119" s="73" t="s">
        <v>30</v>
      </c>
      <c r="C119" s="162">
        <f aca="true" t="shared" si="52" ref="C119:C134">CostoMinuto</f>
      </c>
      <c r="D119" s="73" t="s">
        <v>79</v>
      </c>
      <c r="E119" s="269" t="e">
        <f aca="true" t="shared" si="53" ref="E119:E136">MinutiLavoro*CostoMinuto</f>
        <v>#VALUE!</v>
      </c>
      <c r="F119" s="74" t="s">
        <v>80</v>
      </c>
      <c r="G119" s="272" t="e">
        <f aca="true" t="shared" si="54" ref="G119:G136">Costi_Variabili/Min_Lavoro_Anno*A119</f>
        <v>#VALUE!</v>
      </c>
      <c r="H119" s="74" t="s">
        <v>80</v>
      </c>
      <c r="I119" s="269" t="e">
        <f aca="true" t="shared" si="55" ref="I119:I136">Costi_Fissi/Min_Lavoro_Anno*A119</f>
        <v>#VALUE!</v>
      </c>
      <c r="J119" s="74" t="s">
        <v>81</v>
      </c>
      <c r="K119" s="158" t="e">
        <f aca="true" t="shared" si="56" ref="K119:K136">SUM(E119+G119+I119)</f>
        <v>#VALUE!</v>
      </c>
      <c r="L119" s="164">
        <v>4.91</v>
      </c>
      <c r="M119" s="73" t="s">
        <v>30</v>
      </c>
      <c r="N119" s="97">
        <v>1</v>
      </c>
      <c r="O119" s="73" t="s">
        <v>79</v>
      </c>
      <c r="P119" s="160">
        <f>IF(Istruzioni!$E$7&lt;&gt;"",CostoUnitMatPrima*Qtà,"")</f>
      </c>
      <c r="Q119" s="72" t="s">
        <v>52</v>
      </c>
      <c r="R119" s="272" t="e">
        <f>IF(Z119,P119*(-S119*Valori!$B$14/100+1)*(T119*Valori!$C$14/100+1)*(U119*Valori!$D$14/100+1)+K119,"ERRORE")</f>
        <v>#VALUE!</v>
      </c>
      <c r="S119" s="94">
        <v>1</v>
      </c>
      <c r="T119" s="98">
        <v>2</v>
      </c>
      <c r="U119" s="93">
        <v>1</v>
      </c>
      <c r="V119" s="160" t="e">
        <f>IF(Z119,R119*(1&amp;","&amp;Valori!$B$7),"ERRORE")</f>
        <v>#VALUE!</v>
      </c>
      <c r="W119" s="109">
        <f aca="true" t="shared" si="57" ref="W119:Y134">IF(S119&lt;=0,"errore",IF(S119&gt;5,"errore",S119))</f>
        <v>1</v>
      </c>
      <c r="X119" s="109">
        <f t="shared" si="57"/>
        <v>2</v>
      </c>
      <c r="Y119" s="109">
        <f t="shared" si="57"/>
        <v>1</v>
      </c>
      <c r="Z119" s="110" t="b">
        <f aca="true" t="shared" si="58" ref="Z119:Z136">ISNUMBER(W119+X119+Y119)</f>
        <v>1</v>
      </c>
      <c r="AA119" s="152"/>
      <c r="AB119"/>
      <c r="AC119" s="284"/>
      <c r="CA119" s="7"/>
    </row>
    <row r="120" spans="1:79" ht="12.75">
      <c r="A120" s="97">
        <v>5</v>
      </c>
      <c r="B120" s="73" t="s">
        <v>30</v>
      </c>
      <c r="C120" s="162">
        <f t="shared" si="52"/>
      </c>
      <c r="D120" s="73" t="s">
        <v>79</v>
      </c>
      <c r="E120" s="269" t="e">
        <f t="shared" si="53"/>
        <v>#VALUE!</v>
      </c>
      <c r="F120" s="74" t="s">
        <v>80</v>
      </c>
      <c r="G120" s="272" t="e">
        <f t="shared" si="54"/>
        <v>#VALUE!</v>
      </c>
      <c r="H120" s="74" t="s">
        <v>80</v>
      </c>
      <c r="I120" s="269" t="e">
        <f t="shared" si="55"/>
        <v>#VALUE!</v>
      </c>
      <c r="J120" s="74" t="s">
        <v>81</v>
      </c>
      <c r="K120" s="158" t="e">
        <f t="shared" si="56"/>
        <v>#VALUE!</v>
      </c>
      <c r="L120" s="164">
        <v>5.63</v>
      </c>
      <c r="M120" s="73" t="s">
        <v>30</v>
      </c>
      <c r="N120" s="97">
        <v>1</v>
      </c>
      <c r="O120" s="73" t="s">
        <v>79</v>
      </c>
      <c r="P120" s="160">
        <f>IF(Istruzioni!$E$7&lt;&gt;"",CostoUnitMatPrima*Qtà,"")</f>
      </c>
      <c r="Q120" s="72" t="s">
        <v>53</v>
      </c>
      <c r="R120" s="272" t="e">
        <f>IF(Z120,P120*(-S120*Valori!$B$14/100+1)*(T120*Valori!$C$14/100+1)*(U120*Valori!$D$14/100+1)+K120,"ERRORE")</f>
        <v>#VALUE!</v>
      </c>
      <c r="S120" s="94">
        <v>1</v>
      </c>
      <c r="T120" s="98">
        <v>2</v>
      </c>
      <c r="U120" s="93">
        <v>1</v>
      </c>
      <c r="V120" s="160" t="e">
        <f>IF(Z120,R120*(1&amp;","&amp;Valori!$B$7),"ERRORE")</f>
        <v>#VALUE!</v>
      </c>
      <c r="W120" s="109">
        <f t="shared" si="57"/>
        <v>1</v>
      </c>
      <c r="X120" s="109">
        <f t="shared" si="57"/>
        <v>2</v>
      </c>
      <c r="Y120" s="109">
        <f t="shared" si="57"/>
        <v>1</v>
      </c>
      <c r="Z120" s="110" t="b">
        <f t="shared" si="58"/>
        <v>1</v>
      </c>
      <c r="AA120" s="153"/>
      <c r="AB120"/>
      <c r="AC120" s="284"/>
      <c r="CA120" s="7"/>
    </row>
    <row r="121" spans="1:79" ht="12.75">
      <c r="A121" s="97">
        <v>5</v>
      </c>
      <c r="B121" s="73" t="s">
        <v>30</v>
      </c>
      <c r="C121" s="162">
        <f t="shared" si="52"/>
      </c>
      <c r="D121" s="73" t="s">
        <v>79</v>
      </c>
      <c r="E121" s="269" t="e">
        <f t="shared" si="53"/>
        <v>#VALUE!</v>
      </c>
      <c r="F121" s="74" t="s">
        <v>80</v>
      </c>
      <c r="G121" s="272" t="e">
        <f t="shared" si="54"/>
        <v>#VALUE!</v>
      </c>
      <c r="H121" s="74" t="s">
        <v>80</v>
      </c>
      <c r="I121" s="269" t="e">
        <f t="shared" si="55"/>
        <v>#VALUE!</v>
      </c>
      <c r="J121" s="74" t="s">
        <v>81</v>
      </c>
      <c r="K121" s="158" t="e">
        <f t="shared" si="56"/>
        <v>#VALUE!</v>
      </c>
      <c r="L121" s="164">
        <v>6.15</v>
      </c>
      <c r="M121" s="73" t="s">
        <v>30</v>
      </c>
      <c r="N121" s="97">
        <v>1</v>
      </c>
      <c r="O121" s="73" t="s">
        <v>79</v>
      </c>
      <c r="P121" s="160">
        <f>IF(Istruzioni!$E$7&lt;&gt;"",CostoUnitMatPrima*Qtà,"")</f>
      </c>
      <c r="Q121" s="72" t="s">
        <v>54</v>
      </c>
      <c r="R121" s="272" t="e">
        <f>IF(Z121,P121*(-S121*Valori!$B$14/100+1)*(T121*Valori!$C$14/100+1)*(U121*Valori!$D$14/100+1)+K121,"ERRORE")</f>
        <v>#VALUE!</v>
      </c>
      <c r="S121" s="94">
        <v>1</v>
      </c>
      <c r="T121" s="98">
        <v>2</v>
      </c>
      <c r="U121" s="93">
        <v>1</v>
      </c>
      <c r="V121" s="160" t="e">
        <f>IF(Z121,R121*(1&amp;","&amp;Valori!$B$7),"ERRORE")</f>
        <v>#VALUE!</v>
      </c>
      <c r="W121" s="109">
        <f t="shared" si="57"/>
        <v>1</v>
      </c>
      <c r="X121" s="109">
        <f t="shared" si="57"/>
        <v>2</v>
      </c>
      <c r="Y121" s="109">
        <f t="shared" si="57"/>
        <v>1</v>
      </c>
      <c r="Z121" s="110" t="b">
        <f t="shared" si="58"/>
        <v>1</v>
      </c>
      <c r="AA121" s="153"/>
      <c r="AB121"/>
      <c r="AC121" s="284"/>
      <c r="CA121" s="7"/>
    </row>
    <row r="122" spans="1:79" ht="12.75">
      <c r="A122" s="97">
        <v>5</v>
      </c>
      <c r="B122" s="73" t="s">
        <v>30</v>
      </c>
      <c r="C122" s="162">
        <f t="shared" si="52"/>
      </c>
      <c r="D122" s="73" t="s">
        <v>79</v>
      </c>
      <c r="E122" s="269" t="e">
        <f t="shared" si="53"/>
        <v>#VALUE!</v>
      </c>
      <c r="F122" s="74" t="s">
        <v>80</v>
      </c>
      <c r="G122" s="272" t="e">
        <f t="shared" si="54"/>
        <v>#VALUE!</v>
      </c>
      <c r="H122" s="74" t="s">
        <v>80</v>
      </c>
      <c r="I122" s="269" t="e">
        <f t="shared" si="55"/>
        <v>#VALUE!</v>
      </c>
      <c r="J122" s="74" t="s">
        <v>81</v>
      </c>
      <c r="K122" s="158" t="e">
        <f t="shared" si="56"/>
        <v>#VALUE!</v>
      </c>
      <c r="L122" s="164">
        <v>11.84</v>
      </c>
      <c r="M122" s="73" t="s">
        <v>30</v>
      </c>
      <c r="N122" s="97">
        <v>1</v>
      </c>
      <c r="O122" s="73" t="s">
        <v>79</v>
      </c>
      <c r="P122" s="160">
        <f>IF(Istruzioni!$E$7&lt;&gt;"",CostoUnitMatPrima*Qtà,"")</f>
      </c>
      <c r="Q122" s="72" t="s">
        <v>55</v>
      </c>
      <c r="R122" s="272" t="e">
        <f>IF(Z122,P122*(-S122*Valori!$B$14/100+1)*(T122*Valori!$C$14/100+1)*(U122*Valori!$D$14/100+1)+K122,"ERRORE")</f>
        <v>#VALUE!</v>
      </c>
      <c r="S122" s="94">
        <v>1</v>
      </c>
      <c r="T122" s="98">
        <v>2</v>
      </c>
      <c r="U122" s="93">
        <v>2</v>
      </c>
      <c r="V122" s="160" t="e">
        <f>IF(Z122,R122*(1&amp;","&amp;Valori!$B$7),"ERRORE")</f>
        <v>#VALUE!</v>
      </c>
      <c r="W122" s="109">
        <f t="shared" si="57"/>
        <v>1</v>
      </c>
      <c r="X122" s="109">
        <f t="shared" si="57"/>
        <v>2</v>
      </c>
      <c r="Y122" s="109">
        <f t="shared" si="57"/>
        <v>2</v>
      </c>
      <c r="Z122" s="110" t="b">
        <f t="shared" si="58"/>
        <v>1</v>
      </c>
      <c r="AA122" s="153"/>
      <c r="AB122"/>
      <c r="AC122" s="284"/>
      <c r="CA122" s="7"/>
    </row>
    <row r="123" spans="1:79" ht="12.75">
      <c r="A123" s="97">
        <v>5</v>
      </c>
      <c r="B123" s="73" t="s">
        <v>30</v>
      </c>
      <c r="C123" s="162">
        <f t="shared" si="52"/>
      </c>
      <c r="D123" s="73" t="s">
        <v>79</v>
      </c>
      <c r="E123" s="269" t="e">
        <f t="shared" si="53"/>
        <v>#VALUE!</v>
      </c>
      <c r="F123" s="74" t="s">
        <v>80</v>
      </c>
      <c r="G123" s="272" t="e">
        <f t="shared" si="54"/>
        <v>#VALUE!</v>
      </c>
      <c r="H123" s="74" t="s">
        <v>80</v>
      </c>
      <c r="I123" s="269" t="e">
        <f t="shared" si="55"/>
        <v>#VALUE!</v>
      </c>
      <c r="J123" s="74" t="s">
        <v>81</v>
      </c>
      <c r="K123" s="158" t="e">
        <f t="shared" si="56"/>
        <v>#VALUE!</v>
      </c>
      <c r="L123" s="164">
        <v>13.84</v>
      </c>
      <c r="M123" s="73" t="s">
        <v>30</v>
      </c>
      <c r="N123" s="97">
        <v>1</v>
      </c>
      <c r="O123" s="73" t="s">
        <v>79</v>
      </c>
      <c r="P123" s="160">
        <f>IF(Istruzioni!$E$7&lt;&gt;"",CostoUnitMatPrima*Qtà,"")</f>
      </c>
      <c r="Q123" s="72" t="s">
        <v>56</v>
      </c>
      <c r="R123" s="272" t="e">
        <f>IF(Z123,P123*(-S123*Valori!$B$14/100+1)*(T123*Valori!$C$14/100+1)*(U123*Valori!$D$14/100+1)+K123,"ERRORE")</f>
        <v>#VALUE!</v>
      </c>
      <c r="S123" s="94">
        <v>1</v>
      </c>
      <c r="T123" s="98">
        <v>2</v>
      </c>
      <c r="U123" s="93">
        <v>2</v>
      </c>
      <c r="V123" s="160" t="e">
        <f>IF(Z123,R123*(1&amp;","&amp;Valori!$B$7),"ERRORE")</f>
        <v>#VALUE!</v>
      </c>
      <c r="W123" s="109">
        <f t="shared" si="57"/>
        <v>1</v>
      </c>
      <c r="X123" s="109">
        <f t="shared" si="57"/>
        <v>2</v>
      </c>
      <c r="Y123" s="109">
        <f t="shared" si="57"/>
        <v>2</v>
      </c>
      <c r="Z123" s="110" t="b">
        <f t="shared" si="58"/>
        <v>1</v>
      </c>
      <c r="AA123" s="153"/>
      <c r="AB123"/>
      <c r="AC123" s="284"/>
      <c r="CA123" s="7"/>
    </row>
    <row r="124" spans="1:79" ht="12.75">
      <c r="A124" s="97">
        <v>5</v>
      </c>
      <c r="B124" s="73" t="s">
        <v>30</v>
      </c>
      <c r="C124" s="162">
        <f t="shared" si="52"/>
      </c>
      <c r="D124" s="73" t="s">
        <v>79</v>
      </c>
      <c r="E124" s="269" t="e">
        <f t="shared" si="53"/>
        <v>#VALUE!</v>
      </c>
      <c r="F124" s="74" t="s">
        <v>80</v>
      </c>
      <c r="G124" s="272" t="e">
        <f t="shared" si="54"/>
        <v>#VALUE!</v>
      </c>
      <c r="H124" s="74" t="s">
        <v>80</v>
      </c>
      <c r="I124" s="269" t="e">
        <f t="shared" si="55"/>
        <v>#VALUE!</v>
      </c>
      <c r="J124" s="74" t="s">
        <v>81</v>
      </c>
      <c r="K124" s="158" t="e">
        <f t="shared" si="56"/>
        <v>#VALUE!</v>
      </c>
      <c r="L124" s="164">
        <v>19.88</v>
      </c>
      <c r="M124" s="73" t="s">
        <v>30</v>
      </c>
      <c r="N124" s="97">
        <v>1</v>
      </c>
      <c r="O124" s="73" t="s">
        <v>79</v>
      </c>
      <c r="P124" s="160">
        <f>IF(Istruzioni!$E$7&lt;&gt;"",CostoUnitMatPrima*Qtà,"")</f>
      </c>
      <c r="Q124" s="72" t="s">
        <v>151</v>
      </c>
      <c r="R124" s="272" t="e">
        <f>IF(Z124,P124*(-S124*Valori!$B$14/100+1)*(T124*Valori!$C$14/100+1)*(U124*Valori!$D$14/100+1)+K124,"ERRORE")</f>
        <v>#VALUE!</v>
      </c>
      <c r="S124" s="94">
        <v>1</v>
      </c>
      <c r="T124" s="98">
        <v>2</v>
      </c>
      <c r="U124" s="93">
        <v>2</v>
      </c>
      <c r="V124" s="160" t="e">
        <f>IF(Z124,R124*(1&amp;","&amp;Valori!$B$7),"ERRORE")</f>
        <v>#VALUE!</v>
      </c>
      <c r="W124" s="109">
        <f t="shared" si="57"/>
        <v>1</v>
      </c>
      <c r="X124" s="109">
        <f t="shared" si="57"/>
        <v>2</v>
      </c>
      <c r="Y124" s="109">
        <f t="shared" si="57"/>
        <v>2</v>
      </c>
      <c r="Z124" s="110" t="b">
        <f t="shared" si="58"/>
        <v>1</v>
      </c>
      <c r="AA124" s="153"/>
      <c r="AB124"/>
      <c r="AC124" s="284"/>
      <c r="CA124" s="7"/>
    </row>
    <row r="125" spans="1:79" ht="12.75">
      <c r="A125" s="97">
        <v>5</v>
      </c>
      <c r="B125" s="73" t="s">
        <v>30</v>
      </c>
      <c r="C125" s="162">
        <f t="shared" si="52"/>
      </c>
      <c r="D125" s="73" t="s">
        <v>79</v>
      </c>
      <c r="E125" s="269" t="e">
        <f t="shared" si="53"/>
        <v>#VALUE!</v>
      </c>
      <c r="F125" s="74" t="s">
        <v>80</v>
      </c>
      <c r="G125" s="272" t="e">
        <f t="shared" si="54"/>
        <v>#VALUE!</v>
      </c>
      <c r="H125" s="74" t="s">
        <v>80</v>
      </c>
      <c r="I125" s="269" t="e">
        <f t="shared" si="55"/>
        <v>#VALUE!</v>
      </c>
      <c r="J125" s="74" t="s">
        <v>81</v>
      </c>
      <c r="K125" s="158" t="e">
        <f t="shared" si="56"/>
        <v>#VALUE!</v>
      </c>
      <c r="L125" s="164">
        <v>4.91</v>
      </c>
      <c r="M125" s="73" t="s">
        <v>30</v>
      </c>
      <c r="N125" s="97">
        <v>1</v>
      </c>
      <c r="O125" s="73" t="s">
        <v>79</v>
      </c>
      <c r="P125" s="160">
        <f>IF(Istruzioni!$E$7&lt;&gt;"",CostoUnitMatPrima*Qtà,"")</f>
      </c>
      <c r="Q125" s="72" t="s">
        <v>152</v>
      </c>
      <c r="R125" s="272" t="e">
        <f>IF(Z125,P125*(-S125*Valori!$B$14/100+1)*(T125*Valori!$C$14/100+1)*(U125*Valori!$D$14/100+1)+K125,"ERRORE")</f>
        <v>#VALUE!</v>
      </c>
      <c r="S125" s="94">
        <v>1</v>
      </c>
      <c r="T125" s="98">
        <v>2</v>
      </c>
      <c r="U125" s="93">
        <v>1</v>
      </c>
      <c r="V125" s="160" t="e">
        <f>IF(Z125,R125*(1&amp;","&amp;Valori!$B$7),"ERRORE")</f>
        <v>#VALUE!</v>
      </c>
      <c r="W125" s="109">
        <f t="shared" si="57"/>
        <v>1</v>
      </c>
      <c r="X125" s="109">
        <f t="shared" si="57"/>
        <v>2</v>
      </c>
      <c r="Y125" s="109">
        <f t="shared" si="57"/>
        <v>1</v>
      </c>
      <c r="Z125" s="110" t="b">
        <f t="shared" si="58"/>
        <v>1</v>
      </c>
      <c r="AA125" s="153"/>
      <c r="AB125"/>
      <c r="AC125" s="284"/>
      <c r="CA125" s="7"/>
    </row>
    <row r="126" spans="1:79" ht="12.75">
      <c r="A126" s="97">
        <v>5</v>
      </c>
      <c r="B126" s="73" t="s">
        <v>30</v>
      </c>
      <c r="C126" s="162">
        <f t="shared" si="52"/>
      </c>
      <c r="D126" s="73" t="s">
        <v>79</v>
      </c>
      <c r="E126" s="269" t="e">
        <f t="shared" si="53"/>
        <v>#VALUE!</v>
      </c>
      <c r="F126" s="74" t="s">
        <v>80</v>
      </c>
      <c r="G126" s="272" t="e">
        <f t="shared" si="54"/>
        <v>#VALUE!</v>
      </c>
      <c r="H126" s="74" t="s">
        <v>80</v>
      </c>
      <c r="I126" s="269" t="e">
        <f t="shared" si="55"/>
        <v>#VALUE!</v>
      </c>
      <c r="J126" s="74" t="s">
        <v>81</v>
      </c>
      <c r="K126" s="158" t="e">
        <f t="shared" si="56"/>
        <v>#VALUE!</v>
      </c>
      <c r="L126" s="164">
        <v>5.63</v>
      </c>
      <c r="M126" s="73" t="s">
        <v>30</v>
      </c>
      <c r="N126" s="97">
        <v>1</v>
      </c>
      <c r="O126" s="73" t="s">
        <v>79</v>
      </c>
      <c r="P126" s="160">
        <f>IF(Istruzioni!$E$7&lt;&gt;"",CostoUnitMatPrima*Qtà,"")</f>
      </c>
      <c r="Q126" s="72" t="s">
        <v>153</v>
      </c>
      <c r="R126" s="272" t="e">
        <f>IF(Z126,P126*(-S126*Valori!$B$14/100+1)*(T126*Valori!$C$14/100+1)*(U126*Valori!$D$14/100+1)+K126,"ERRORE")</f>
        <v>#VALUE!</v>
      </c>
      <c r="S126" s="94">
        <v>1</v>
      </c>
      <c r="T126" s="98">
        <v>2</v>
      </c>
      <c r="U126" s="93">
        <v>1</v>
      </c>
      <c r="V126" s="160" t="e">
        <f>IF(Z126,R126*(1&amp;","&amp;Valori!$B$7),"ERRORE")</f>
        <v>#VALUE!</v>
      </c>
      <c r="W126" s="109">
        <f t="shared" si="57"/>
        <v>1</v>
      </c>
      <c r="X126" s="109">
        <f t="shared" si="57"/>
        <v>2</v>
      </c>
      <c r="Y126" s="109">
        <f t="shared" si="57"/>
        <v>1</v>
      </c>
      <c r="Z126" s="110" t="b">
        <f t="shared" si="58"/>
        <v>1</v>
      </c>
      <c r="AA126" s="153"/>
      <c r="AB126"/>
      <c r="AC126" s="284"/>
      <c r="CA126" s="7"/>
    </row>
    <row r="127" spans="1:79" ht="12.75">
      <c r="A127" s="97">
        <v>5</v>
      </c>
      <c r="B127" s="73" t="s">
        <v>30</v>
      </c>
      <c r="C127" s="162">
        <f t="shared" si="52"/>
      </c>
      <c r="D127" s="73" t="s">
        <v>79</v>
      </c>
      <c r="E127" s="269" t="e">
        <f t="shared" si="53"/>
        <v>#VALUE!</v>
      </c>
      <c r="F127" s="74" t="s">
        <v>80</v>
      </c>
      <c r="G127" s="272" t="e">
        <f t="shared" si="54"/>
        <v>#VALUE!</v>
      </c>
      <c r="H127" s="74" t="s">
        <v>80</v>
      </c>
      <c r="I127" s="269" t="e">
        <f t="shared" si="55"/>
        <v>#VALUE!</v>
      </c>
      <c r="J127" s="74" t="s">
        <v>81</v>
      </c>
      <c r="K127" s="158" t="e">
        <f t="shared" si="56"/>
        <v>#VALUE!</v>
      </c>
      <c r="L127" s="164">
        <v>6.15</v>
      </c>
      <c r="M127" s="73" t="s">
        <v>30</v>
      </c>
      <c r="N127" s="97">
        <v>1</v>
      </c>
      <c r="O127" s="73" t="s">
        <v>79</v>
      </c>
      <c r="P127" s="160">
        <f>IF(Istruzioni!$E$7&lt;&gt;"",CostoUnitMatPrima*Qtà,"")</f>
      </c>
      <c r="Q127" s="72" t="s">
        <v>154</v>
      </c>
      <c r="R127" s="272" t="e">
        <f>IF(Z127,P127*(-S127*Valori!$B$14/100+1)*(T127*Valori!$C$14/100+1)*(U127*Valori!$D$14/100+1)+K127,"ERRORE")</f>
        <v>#VALUE!</v>
      </c>
      <c r="S127" s="94">
        <v>1</v>
      </c>
      <c r="T127" s="98">
        <v>2</v>
      </c>
      <c r="U127" s="93">
        <v>1</v>
      </c>
      <c r="V127" s="160" t="e">
        <f>IF(Z127,R127*(1&amp;","&amp;Valori!$B$7),"ERRORE")</f>
        <v>#VALUE!</v>
      </c>
      <c r="W127" s="109">
        <f t="shared" si="57"/>
        <v>1</v>
      </c>
      <c r="X127" s="109">
        <f t="shared" si="57"/>
        <v>2</v>
      </c>
      <c r="Y127" s="109">
        <f t="shared" si="57"/>
        <v>1</v>
      </c>
      <c r="Z127" s="110" t="b">
        <f t="shared" si="58"/>
        <v>1</v>
      </c>
      <c r="AA127" s="153"/>
      <c r="AB127"/>
      <c r="AC127" s="284"/>
      <c r="CA127" s="7"/>
    </row>
    <row r="128" spans="1:79" ht="12.75">
      <c r="A128" s="97">
        <v>5</v>
      </c>
      <c r="B128" s="73" t="s">
        <v>30</v>
      </c>
      <c r="C128" s="162">
        <f t="shared" si="52"/>
      </c>
      <c r="D128" s="73" t="s">
        <v>79</v>
      </c>
      <c r="E128" s="269" t="e">
        <f t="shared" si="53"/>
        <v>#VALUE!</v>
      </c>
      <c r="F128" s="74" t="s">
        <v>80</v>
      </c>
      <c r="G128" s="272" t="e">
        <f t="shared" si="54"/>
        <v>#VALUE!</v>
      </c>
      <c r="H128" s="74" t="s">
        <v>80</v>
      </c>
      <c r="I128" s="269" t="e">
        <f t="shared" si="55"/>
        <v>#VALUE!</v>
      </c>
      <c r="J128" s="74" t="s">
        <v>81</v>
      </c>
      <c r="K128" s="158" t="e">
        <f t="shared" si="56"/>
        <v>#VALUE!</v>
      </c>
      <c r="L128" s="164">
        <v>11.84</v>
      </c>
      <c r="M128" s="73" t="s">
        <v>30</v>
      </c>
      <c r="N128" s="97">
        <v>1</v>
      </c>
      <c r="O128" s="73" t="s">
        <v>79</v>
      </c>
      <c r="P128" s="160">
        <f>IF(Istruzioni!$E$7&lt;&gt;"",CostoUnitMatPrima*Qtà,"")</f>
      </c>
      <c r="Q128" s="72" t="s">
        <v>155</v>
      </c>
      <c r="R128" s="272" t="e">
        <f>IF(Z128,P128*(-S128*Valori!$B$14/100+1)*(T128*Valori!$C$14/100+1)*(U128*Valori!$D$14/100+1)+K128,"ERRORE")</f>
        <v>#VALUE!</v>
      </c>
      <c r="S128" s="94">
        <v>1</v>
      </c>
      <c r="T128" s="98">
        <v>2</v>
      </c>
      <c r="U128" s="93">
        <v>2</v>
      </c>
      <c r="V128" s="160" t="e">
        <f>IF(Z128,R128*(1&amp;","&amp;Valori!$B$7),"ERRORE")</f>
        <v>#VALUE!</v>
      </c>
      <c r="W128" s="109">
        <f t="shared" si="57"/>
        <v>1</v>
      </c>
      <c r="X128" s="109">
        <f t="shared" si="57"/>
        <v>2</v>
      </c>
      <c r="Y128" s="109">
        <f t="shared" si="57"/>
        <v>2</v>
      </c>
      <c r="Z128" s="110" t="b">
        <f t="shared" si="58"/>
        <v>1</v>
      </c>
      <c r="AA128" s="153"/>
      <c r="AB128"/>
      <c r="AC128" s="284"/>
      <c r="CA128" s="7"/>
    </row>
    <row r="129" spans="1:79" ht="12.75">
      <c r="A129" s="97">
        <v>5</v>
      </c>
      <c r="B129" s="73" t="s">
        <v>30</v>
      </c>
      <c r="C129" s="162">
        <f t="shared" si="52"/>
      </c>
      <c r="D129" s="73" t="s">
        <v>79</v>
      </c>
      <c r="E129" s="269" t="e">
        <f t="shared" si="53"/>
        <v>#VALUE!</v>
      </c>
      <c r="F129" s="74" t="s">
        <v>80</v>
      </c>
      <c r="G129" s="272" t="e">
        <f t="shared" si="54"/>
        <v>#VALUE!</v>
      </c>
      <c r="H129" s="74" t="s">
        <v>80</v>
      </c>
      <c r="I129" s="269" t="e">
        <f t="shared" si="55"/>
        <v>#VALUE!</v>
      </c>
      <c r="J129" s="74" t="s">
        <v>81</v>
      </c>
      <c r="K129" s="158" t="e">
        <f t="shared" si="56"/>
        <v>#VALUE!</v>
      </c>
      <c r="L129" s="164">
        <v>13.84</v>
      </c>
      <c r="M129" s="73" t="s">
        <v>30</v>
      </c>
      <c r="N129" s="97">
        <v>1</v>
      </c>
      <c r="O129" s="73" t="s">
        <v>79</v>
      </c>
      <c r="P129" s="160">
        <f>IF(Istruzioni!$E$7&lt;&gt;"",CostoUnitMatPrima*Qtà,"")</f>
      </c>
      <c r="Q129" s="72" t="s">
        <v>156</v>
      </c>
      <c r="R129" s="272" t="e">
        <f>IF(Z129,P129*(-S129*Valori!$B$14/100+1)*(T129*Valori!$C$14/100+1)*(U129*Valori!$D$14/100+1)+K129,"ERRORE")</f>
        <v>#VALUE!</v>
      </c>
      <c r="S129" s="94">
        <v>1</v>
      </c>
      <c r="T129" s="98">
        <v>2</v>
      </c>
      <c r="U129" s="93">
        <v>2</v>
      </c>
      <c r="V129" s="160" t="e">
        <f>IF(Z129,R129*(1&amp;","&amp;Valori!$B$7),"ERRORE")</f>
        <v>#VALUE!</v>
      </c>
      <c r="W129" s="109">
        <f t="shared" si="57"/>
        <v>1</v>
      </c>
      <c r="X129" s="109">
        <f t="shared" si="57"/>
        <v>2</v>
      </c>
      <c r="Y129" s="109">
        <f t="shared" si="57"/>
        <v>2</v>
      </c>
      <c r="Z129" s="110" t="b">
        <f t="shared" si="58"/>
        <v>1</v>
      </c>
      <c r="AA129" s="153"/>
      <c r="AB129"/>
      <c r="AC129" s="284"/>
      <c r="CA129" s="7"/>
    </row>
    <row r="130" spans="1:79" ht="12.75">
      <c r="A130" s="97">
        <v>5</v>
      </c>
      <c r="B130" s="73" t="s">
        <v>30</v>
      </c>
      <c r="C130" s="162">
        <f t="shared" si="52"/>
      </c>
      <c r="D130" s="73" t="s">
        <v>79</v>
      </c>
      <c r="E130" s="269" t="e">
        <f t="shared" si="53"/>
        <v>#VALUE!</v>
      </c>
      <c r="F130" s="74" t="s">
        <v>80</v>
      </c>
      <c r="G130" s="272" t="e">
        <f t="shared" si="54"/>
        <v>#VALUE!</v>
      </c>
      <c r="H130" s="74" t="s">
        <v>80</v>
      </c>
      <c r="I130" s="269" t="e">
        <f t="shared" si="55"/>
        <v>#VALUE!</v>
      </c>
      <c r="J130" s="74" t="s">
        <v>81</v>
      </c>
      <c r="K130" s="158" t="e">
        <f t="shared" si="56"/>
        <v>#VALUE!</v>
      </c>
      <c r="L130" s="164">
        <v>19.88</v>
      </c>
      <c r="M130" s="73" t="s">
        <v>30</v>
      </c>
      <c r="N130" s="97">
        <v>1</v>
      </c>
      <c r="O130" s="73" t="s">
        <v>79</v>
      </c>
      <c r="P130" s="160">
        <f>IF(Istruzioni!$E$7&lt;&gt;"",CostoUnitMatPrima*Qtà,"")</f>
      </c>
      <c r="Q130" s="72" t="s">
        <v>17</v>
      </c>
      <c r="R130" s="272" t="e">
        <f>IF(Z130,P130*(-S130*Valori!$B$14/100+1)*(T130*Valori!$C$14/100+1)*(U130*Valori!$D$14/100+1)+K130,"ERRORE")</f>
        <v>#VALUE!</v>
      </c>
      <c r="S130" s="94">
        <v>1</v>
      </c>
      <c r="T130" s="98">
        <v>2</v>
      </c>
      <c r="U130" s="93">
        <v>2</v>
      </c>
      <c r="V130" s="160" t="e">
        <f>IF(Z130,R130*(1&amp;","&amp;Valori!$B$7),"ERRORE")</f>
        <v>#VALUE!</v>
      </c>
      <c r="W130" s="109">
        <f t="shared" si="57"/>
        <v>1</v>
      </c>
      <c r="X130" s="109">
        <f t="shared" si="57"/>
        <v>2</v>
      </c>
      <c r="Y130" s="109">
        <f t="shared" si="57"/>
        <v>2</v>
      </c>
      <c r="Z130" s="110" t="b">
        <f t="shared" si="58"/>
        <v>1</v>
      </c>
      <c r="AA130" s="153"/>
      <c r="AB130"/>
      <c r="AC130" s="284"/>
      <c r="CA130" s="7"/>
    </row>
    <row r="131" spans="1:79" ht="12.75">
      <c r="A131" s="97">
        <v>5</v>
      </c>
      <c r="B131" s="73" t="s">
        <v>30</v>
      </c>
      <c r="C131" s="162">
        <f t="shared" si="52"/>
      </c>
      <c r="D131" s="73" t="s">
        <v>79</v>
      </c>
      <c r="E131" s="269" t="e">
        <f t="shared" si="53"/>
        <v>#VALUE!</v>
      </c>
      <c r="F131" s="74" t="s">
        <v>80</v>
      </c>
      <c r="G131" s="272" t="e">
        <f t="shared" si="54"/>
        <v>#VALUE!</v>
      </c>
      <c r="H131" s="74" t="s">
        <v>80</v>
      </c>
      <c r="I131" s="269" t="e">
        <f t="shared" si="55"/>
        <v>#VALUE!</v>
      </c>
      <c r="J131" s="74" t="s">
        <v>81</v>
      </c>
      <c r="K131" s="158" t="e">
        <f t="shared" si="56"/>
        <v>#VALUE!</v>
      </c>
      <c r="L131" s="164">
        <v>0.77</v>
      </c>
      <c r="M131" s="73" t="s">
        <v>30</v>
      </c>
      <c r="N131" s="97">
        <v>1</v>
      </c>
      <c r="O131" s="73" t="s">
        <v>79</v>
      </c>
      <c r="P131" s="160">
        <f>IF(Istruzioni!$E$7&lt;&gt;"",CostoUnitMatPrima*Qtà,"")</f>
      </c>
      <c r="Q131" s="72" t="s">
        <v>18</v>
      </c>
      <c r="R131" s="272" t="e">
        <f>IF(Z131,P131*(-S131*Valori!$B$14/100+1)*(T131*Valori!$C$14/100+1)*(U131*Valori!$D$14/100+1)+K131,"ERRORE")</f>
        <v>#VALUE!</v>
      </c>
      <c r="S131" s="94">
        <v>1</v>
      </c>
      <c r="T131" s="98">
        <v>2</v>
      </c>
      <c r="U131" s="93">
        <v>1</v>
      </c>
      <c r="V131" s="160" t="e">
        <f>IF(Z131,R131*(1&amp;","&amp;Valori!$B$7),"ERRORE")</f>
        <v>#VALUE!</v>
      </c>
      <c r="W131" s="109">
        <f t="shared" si="57"/>
        <v>1</v>
      </c>
      <c r="X131" s="109">
        <f t="shared" si="57"/>
        <v>2</v>
      </c>
      <c r="Y131" s="109">
        <f t="shared" si="57"/>
        <v>1</v>
      </c>
      <c r="Z131" s="110" t="b">
        <f t="shared" si="58"/>
        <v>1</v>
      </c>
      <c r="AA131" s="153"/>
      <c r="AB131"/>
      <c r="AC131" s="284"/>
      <c r="CA131" s="7"/>
    </row>
    <row r="132" spans="1:79" ht="12.75">
      <c r="A132" s="97">
        <v>5</v>
      </c>
      <c r="B132" s="73" t="s">
        <v>30</v>
      </c>
      <c r="C132" s="162">
        <f t="shared" si="52"/>
      </c>
      <c r="D132" s="73" t="s">
        <v>79</v>
      </c>
      <c r="E132" s="269" t="e">
        <f t="shared" si="53"/>
        <v>#VALUE!</v>
      </c>
      <c r="F132" s="74" t="s">
        <v>80</v>
      </c>
      <c r="G132" s="272" t="e">
        <f t="shared" si="54"/>
        <v>#VALUE!</v>
      </c>
      <c r="H132" s="74" t="s">
        <v>80</v>
      </c>
      <c r="I132" s="269" t="e">
        <f t="shared" si="55"/>
        <v>#VALUE!</v>
      </c>
      <c r="J132" s="74" t="s">
        <v>81</v>
      </c>
      <c r="K132" s="158" t="e">
        <f t="shared" si="56"/>
        <v>#VALUE!</v>
      </c>
      <c r="L132" s="164">
        <v>5.63</v>
      </c>
      <c r="M132" s="73" t="s">
        <v>30</v>
      </c>
      <c r="N132" s="97">
        <v>1</v>
      </c>
      <c r="O132" s="73" t="s">
        <v>79</v>
      </c>
      <c r="P132" s="160">
        <f>IF(Istruzioni!$E$7&lt;&gt;"",CostoUnitMatPrima*Qtà,"")</f>
      </c>
      <c r="Q132" s="72" t="s">
        <v>19</v>
      </c>
      <c r="R132" s="272" t="e">
        <f>IF(Z132,P132*(-S132*Valori!$B$14/100+1)*(T132*Valori!$C$14/100+1)*(U132*Valori!$D$14/100+1)+K132,"ERRORE")</f>
        <v>#VALUE!</v>
      </c>
      <c r="S132" s="94">
        <v>1</v>
      </c>
      <c r="T132" s="98">
        <v>2</v>
      </c>
      <c r="U132" s="93">
        <v>1</v>
      </c>
      <c r="V132" s="160" t="e">
        <f>IF(Z132,R132*(1&amp;","&amp;Valori!$B$7),"ERRORE")</f>
        <v>#VALUE!</v>
      </c>
      <c r="W132" s="109">
        <f t="shared" si="57"/>
        <v>1</v>
      </c>
      <c r="X132" s="109">
        <f t="shared" si="57"/>
        <v>2</v>
      </c>
      <c r="Y132" s="109">
        <f t="shared" si="57"/>
        <v>1</v>
      </c>
      <c r="Z132" s="110" t="b">
        <f t="shared" si="58"/>
        <v>1</v>
      </c>
      <c r="AA132" s="153"/>
      <c r="AB132"/>
      <c r="AC132" s="284"/>
      <c r="CA132" s="7"/>
    </row>
    <row r="133" spans="1:79" ht="12.75">
      <c r="A133" s="97">
        <v>5</v>
      </c>
      <c r="B133" s="73" t="s">
        <v>30</v>
      </c>
      <c r="C133" s="162">
        <f t="shared" si="52"/>
      </c>
      <c r="D133" s="73" t="s">
        <v>79</v>
      </c>
      <c r="E133" s="269" t="e">
        <f t="shared" si="53"/>
        <v>#VALUE!</v>
      </c>
      <c r="F133" s="74" t="s">
        <v>80</v>
      </c>
      <c r="G133" s="272" t="e">
        <f t="shared" si="54"/>
        <v>#VALUE!</v>
      </c>
      <c r="H133" s="74" t="s">
        <v>80</v>
      </c>
      <c r="I133" s="269" t="e">
        <f t="shared" si="55"/>
        <v>#VALUE!</v>
      </c>
      <c r="J133" s="74" t="s">
        <v>81</v>
      </c>
      <c r="K133" s="158" t="e">
        <f t="shared" si="56"/>
        <v>#VALUE!</v>
      </c>
      <c r="L133" s="164">
        <v>6.15</v>
      </c>
      <c r="M133" s="73" t="s">
        <v>30</v>
      </c>
      <c r="N133" s="97">
        <v>1</v>
      </c>
      <c r="O133" s="73" t="s">
        <v>79</v>
      </c>
      <c r="P133" s="160">
        <f>IF(Istruzioni!$E$7&lt;&gt;"",CostoUnitMatPrima*Qtà,"")</f>
      </c>
      <c r="Q133" s="72" t="s">
        <v>20</v>
      </c>
      <c r="R133" s="272" t="e">
        <f>IF(Z133,P133*(-S133*Valori!$B$14/100+1)*(T133*Valori!$C$14/100+1)*(U133*Valori!$D$14/100+1)+K133,"ERRORE")</f>
        <v>#VALUE!</v>
      </c>
      <c r="S133" s="94">
        <v>1</v>
      </c>
      <c r="T133" s="98">
        <v>2</v>
      </c>
      <c r="U133" s="93">
        <v>1</v>
      </c>
      <c r="V133" s="160" t="e">
        <f>IF(Z133,R133*(1&amp;","&amp;Valori!$B$7),"ERRORE")</f>
        <v>#VALUE!</v>
      </c>
      <c r="W133" s="109">
        <f t="shared" si="57"/>
        <v>1</v>
      </c>
      <c r="X133" s="109">
        <f t="shared" si="57"/>
        <v>2</v>
      </c>
      <c r="Y133" s="109">
        <f t="shared" si="57"/>
        <v>1</v>
      </c>
      <c r="Z133" s="110" t="b">
        <f t="shared" si="58"/>
        <v>1</v>
      </c>
      <c r="AA133" s="153"/>
      <c r="AB133"/>
      <c r="AC133" s="284"/>
      <c r="CA133" s="7"/>
    </row>
    <row r="134" spans="1:79" ht="12.75">
      <c r="A134" s="97">
        <v>5</v>
      </c>
      <c r="B134" s="73" t="s">
        <v>30</v>
      </c>
      <c r="C134" s="162">
        <f t="shared" si="52"/>
      </c>
      <c r="D134" s="73" t="s">
        <v>79</v>
      </c>
      <c r="E134" s="269" t="e">
        <f t="shared" si="53"/>
        <v>#VALUE!</v>
      </c>
      <c r="F134" s="74" t="s">
        <v>80</v>
      </c>
      <c r="G134" s="272" t="e">
        <f t="shared" si="54"/>
        <v>#VALUE!</v>
      </c>
      <c r="H134" s="74" t="s">
        <v>80</v>
      </c>
      <c r="I134" s="269" t="e">
        <f t="shared" si="55"/>
        <v>#VALUE!</v>
      </c>
      <c r="J134" s="74" t="s">
        <v>81</v>
      </c>
      <c r="K134" s="158" t="e">
        <f t="shared" si="56"/>
        <v>#VALUE!</v>
      </c>
      <c r="L134" s="164">
        <v>11.84</v>
      </c>
      <c r="M134" s="73" t="s">
        <v>30</v>
      </c>
      <c r="N134" s="97">
        <v>1</v>
      </c>
      <c r="O134" s="73" t="s">
        <v>79</v>
      </c>
      <c r="P134" s="160">
        <f>IF(Istruzioni!$E$7&lt;&gt;"",CostoUnitMatPrima*Qtà,"")</f>
      </c>
      <c r="Q134" s="72" t="s">
        <v>21</v>
      </c>
      <c r="R134" s="272" t="e">
        <f>IF(Z134,P134*(-S134*Valori!$B$14/100+1)*(T134*Valori!$C$14/100+1)*(U134*Valori!$D$14/100+1)+K134,"ERRORE")</f>
        <v>#VALUE!</v>
      </c>
      <c r="S134" s="94">
        <v>1</v>
      </c>
      <c r="T134" s="98">
        <v>2</v>
      </c>
      <c r="U134" s="93">
        <v>2</v>
      </c>
      <c r="V134" s="160" t="e">
        <f>IF(Z134,R134*(1&amp;","&amp;Valori!$B$7),"ERRORE")</f>
        <v>#VALUE!</v>
      </c>
      <c r="W134" s="109">
        <f t="shared" si="57"/>
        <v>1</v>
      </c>
      <c r="X134" s="109">
        <f t="shared" si="57"/>
        <v>2</v>
      </c>
      <c r="Y134" s="109">
        <f t="shared" si="57"/>
        <v>2</v>
      </c>
      <c r="Z134" s="110" t="b">
        <f t="shared" si="58"/>
        <v>1</v>
      </c>
      <c r="AA134" s="153"/>
      <c r="AB134"/>
      <c r="AC134" s="284"/>
      <c r="CA134" s="7"/>
    </row>
    <row r="135" spans="1:79" ht="12.75">
      <c r="A135" s="97">
        <v>5</v>
      </c>
      <c r="B135" s="73" t="s">
        <v>30</v>
      </c>
      <c r="C135" s="162">
        <f>CostoMinuto</f>
      </c>
      <c r="D135" s="73" t="s">
        <v>79</v>
      </c>
      <c r="E135" s="269" t="e">
        <f t="shared" si="53"/>
        <v>#VALUE!</v>
      </c>
      <c r="F135" s="74" t="s">
        <v>80</v>
      </c>
      <c r="G135" s="272" t="e">
        <f t="shared" si="54"/>
        <v>#VALUE!</v>
      </c>
      <c r="H135" s="74" t="s">
        <v>80</v>
      </c>
      <c r="I135" s="269" t="e">
        <f t="shared" si="55"/>
        <v>#VALUE!</v>
      </c>
      <c r="J135" s="74" t="s">
        <v>81</v>
      </c>
      <c r="K135" s="158" t="e">
        <f t="shared" si="56"/>
        <v>#VALUE!</v>
      </c>
      <c r="L135" s="164">
        <v>13.84</v>
      </c>
      <c r="M135" s="73" t="s">
        <v>30</v>
      </c>
      <c r="N135" s="97">
        <v>1</v>
      </c>
      <c r="O135" s="73" t="s">
        <v>79</v>
      </c>
      <c r="P135" s="160">
        <f>IF(Istruzioni!$E$7&lt;&gt;"",CostoUnitMatPrima*Qtà,"")</f>
      </c>
      <c r="Q135" s="72" t="s">
        <v>22</v>
      </c>
      <c r="R135" s="272" t="e">
        <f>IF(Z135,P135*(-S135*Valori!$B$14/100+1)*(T135*Valori!$C$14/100+1)*(U135*Valori!$D$14/100+1)+K135,"ERRORE")</f>
        <v>#VALUE!</v>
      </c>
      <c r="S135" s="94">
        <v>1</v>
      </c>
      <c r="T135" s="98">
        <v>2</v>
      </c>
      <c r="U135" s="93">
        <v>2</v>
      </c>
      <c r="V135" s="160" t="e">
        <f>IF(Z135,R135*(1&amp;","&amp;Valori!$B$7),"ERRORE")</f>
        <v>#VALUE!</v>
      </c>
      <c r="W135" s="109">
        <f aca="true" t="shared" si="59" ref="W135:Y150">IF(S135&lt;=0,"errore",IF(S135&gt;5,"errore",S135))</f>
        <v>1</v>
      </c>
      <c r="X135" s="109">
        <f t="shared" si="59"/>
        <v>2</v>
      </c>
      <c r="Y135" s="109">
        <f t="shared" si="59"/>
        <v>2</v>
      </c>
      <c r="Z135" s="110" t="b">
        <f t="shared" si="58"/>
        <v>1</v>
      </c>
      <c r="AA135" s="153"/>
      <c r="AB135"/>
      <c r="AC135" s="284"/>
      <c r="CA135" s="7"/>
    </row>
    <row r="136" spans="1:79" ht="12.75">
      <c r="A136" s="97">
        <v>5</v>
      </c>
      <c r="B136" s="73" t="s">
        <v>30</v>
      </c>
      <c r="C136" s="162">
        <f>CostoMinuto</f>
      </c>
      <c r="D136" s="73" t="s">
        <v>79</v>
      </c>
      <c r="E136" s="269" t="e">
        <f t="shared" si="53"/>
        <v>#VALUE!</v>
      </c>
      <c r="F136" s="74" t="s">
        <v>80</v>
      </c>
      <c r="G136" s="272" t="e">
        <f t="shared" si="54"/>
        <v>#VALUE!</v>
      </c>
      <c r="H136" s="74" t="s">
        <v>80</v>
      </c>
      <c r="I136" s="269" t="e">
        <f t="shared" si="55"/>
        <v>#VALUE!</v>
      </c>
      <c r="J136" s="74" t="s">
        <v>81</v>
      </c>
      <c r="K136" s="158" t="e">
        <f t="shared" si="56"/>
        <v>#VALUE!</v>
      </c>
      <c r="L136" s="164">
        <v>19.88</v>
      </c>
      <c r="M136" s="73" t="s">
        <v>30</v>
      </c>
      <c r="N136" s="97">
        <v>1</v>
      </c>
      <c r="O136" s="73" t="s">
        <v>79</v>
      </c>
      <c r="P136" s="160">
        <f>IF(Istruzioni!$E$7&lt;&gt;"",CostoUnitMatPrima*Qtà,"")</f>
      </c>
      <c r="Q136" s="72" t="s">
        <v>23</v>
      </c>
      <c r="R136" s="272" t="e">
        <f>IF(Z136,P136*(-S136*Valori!$B$14/100+1)*(T136*Valori!$C$14/100+1)*(U136*Valori!$D$14/100+1)+K136,"ERRORE")</f>
        <v>#VALUE!</v>
      </c>
      <c r="S136" s="94">
        <v>1</v>
      </c>
      <c r="T136" s="98">
        <v>2</v>
      </c>
      <c r="U136" s="93">
        <v>2</v>
      </c>
      <c r="V136" s="160" t="e">
        <f>IF(Z136,R136*(1&amp;","&amp;Valori!$B$7),"ERRORE")</f>
        <v>#VALUE!</v>
      </c>
      <c r="W136" s="109">
        <f t="shared" si="59"/>
        <v>1</v>
      </c>
      <c r="X136" s="109">
        <f t="shared" si="59"/>
        <v>2</v>
      </c>
      <c r="Y136" s="109">
        <f t="shared" si="59"/>
        <v>2</v>
      </c>
      <c r="Z136" s="110" t="b">
        <f t="shared" si="58"/>
        <v>1</v>
      </c>
      <c r="AA136" s="153"/>
      <c r="AB136"/>
      <c r="AC136" s="284"/>
      <c r="CA136" s="7"/>
    </row>
    <row r="137" spans="1:79" s="49" customFormat="1" ht="24" customHeight="1">
      <c r="A137" s="8"/>
      <c r="B137" s="30"/>
      <c r="C137" s="36"/>
      <c r="D137" s="30"/>
      <c r="E137" s="271"/>
      <c r="F137" s="35"/>
      <c r="G137" s="271"/>
      <c r="H137" s="35"/>
      <c r="I137" s="271"/>
      <c r="J137" s="35"/>
      <c r="K137" s="11"/>
      <c r="L137" s="20"/>
      <c r="M137" s="30"/>
      <c r="N137" s="21"/>
      <c r="O137" s="30"/>
      <c r="P137" s="11"/>
      <c r="Q137" s="27">
        <f>IF(Istruzioni!$E$7&lt;&gt;"","Lavorazioni fuori Studio","")</f>
      </c>
      <c r="R137" s="271"/>
      <c r="S137" s="22"/>
      <c r="T137" s="22"/>
      <c r="U137" s="22"/>
      <c r="V137" s="11"/>
      <c r="W137"/>
      <c r="X137"/>
      <c r="Y137"/>
      <c r="Z137"/>
      <c r="AA137" s="11"/>
      <c r="AB137"/>
      <c r="AC137" s="284"/>
      <c r="AD137" s="285"/>
      <c r="AG137" s="48"/>
      <c r="AH137" s="48"/>
      <c r="AI137" s="48"/>
      <c r="CA137" s="11"/>
    </row>
    <row r="138" spans="1:79" s="51" customFormat="1" ht="12.75">
      <c r="A138" s="117"/>
      <c r="B138" s="30"/>
      <c r="C138" s="36"/>
      <c r="D138" s="30"/>
      <c r="E138" s="271"/>
      <c r="F138" s="35"/>
      <c r="G138" s="271"/>
      <c r="H138" s="35"/>
      <c r="I138" s="271"/>
      <c r="J138" s="35"/>
      <c r="K138" s="11"/>
      <c r="L138" s="20"/>
      <c r="M138" s="30"/>
      <c r="N138" s="21"/>
      <c r="O138" s="30"/>
      <c r="P138" s="11"/>
      <c r="Q138" s="17" t="s">
        <v>222</v>
      </c>
      <c r="R138" s="271"/>
      <c r="S138" s="22"/>
      <c r="T138" s="22"/>
      <c r="U138" s="22"/>
      <c r="V138" s="150">
        <f>IF(Istruzioni!$E$7&lt;&gt;"",Istruzioni!$G$12,"")</f>
      </c>
      <c r="W138"/>
      <c r="X138"/>
      <c r="Y138"/>
      <c r="Z138"/>
      <c r="AA138" s="150"/>
      <c r="AB138"/>
      <c r="AC138" s="284"/>
      <c r="AD138" s="286"/>
      <c r="AG138" s="50"/>
      <c r="AH138" s="50"/>
      <c r="AI138" s="50"/>
      <c r="CA138" s="11"/>
    </row>
    <row r="139" spans="1:79" ht="12.75">
      <c r="A139" s="97">
        <v>60</v>
      </c>
      <c r="B139" s="73" t="s">
        <v>30</v>
      </c>
      <c r="C139" s="162">
        <f aca="true" t="shared" si="60" ref="C139:C144">CostoMinuto</f>
      </c>
      <c r="D139" s="73" t="s">
        <v>79</v>
      </c>
      <c r="E139" s="269" t="e">
        <f aca="true" t="shared" si="61" ref="E139:E144">MinutiLavoro*CostoMinuto</f>
        <v>#VALUE!</v>
      </c>
      <c r="F139" s="74" t="s">
        <v>80</v>
      </c>
      <c r="G139" s="272" t="e">
        <f aca="true" t="shared" si="62" ref="G139:G144">Costi_Variabili/Min_Lavoro_Anno*A139</f>
        <v>#VALUE!</v>
      </c>
      <c r="H139" s="74" t="s">
        <v>80</v>
      </c>
      <c r="I139" s="269" t="e">
        <f aca="true" t="shared" si="63" ref="I139:I144">Costi_Fissi/Min_Lavoro_Anno*A139</f>
        <v>#VALUE!</v>
      </c>
      <c r="J139" s="74" t="s">
        <v>81</v>
      </c>
      <c r="K139" s="158" t="e">
        <f aca="true" t="shared" si="64" ref="K139:K144">SUM(E139+G139+I139)</f>
        <v>#VALUE!</v>
      </c>
      <c r="L139" s="165"/>
      <c r="M139" s="73"/>
      <c r="N139" s="75"/>
      <c r="O139" s="73"/>
      <c r="P139" s="160">
        <f>IF(Istruzioni!$E$7&lt;&gt;"",CostoUnitMatPrima*Qtà,"")</f>
      </c>
      <c r="Q139" s="72" t="s">
        <v>223</v>
      </c>
      <c r="R139" s="272" t="e">
        <f>IF(Z139,P139*(-S139*Valori!$B$14/100+1)*(T139*Valori!$C$14/100+1)*(U139*Valori!$D$14/100+1)+K139,"ERRORE")</f>
        <v>#VALUE!</v>
      </c>
      <c r="S139" s="71">
        <v>1</v>
      </c>
      <c r="T139" s="77">
        <v>1</v>
      </c>
      <c r="U139" s="70">
        <v>1</v>
      </c>
      <c r="V139" s="160" t="e">
        <f>IF(Z139,R139*(1&amp;","&amp;Valori!$B$7),"ERRORE")</f>
        <v>#VALUE!</v>
      </c>
      <c r="W139" s="109">
        <f t="shared" si="59"/>
        <v>1</v>
      </c>
      <c r="X139" s="109">
        <f t="shared" si="59"/>
        <v>1</v>
      </c>
      <c r="Y139" s="109">
        <f t="shared" si="59"/>
        <v>1</v>
      </c>
      <c r="Z139" s="110" t="b">
        <f aca="true" t="shared" si="65" ref="Z139:Z144">ISNUMBER(W139+X139+Y139)</f>
        <v>1</v>
      </c>
      <c r="AA139" s="152"/>
      <c r="AB139"/>
      <c r="AC139" s="284"/>
      <c r="CA139" s="7"/>
    </row>
    <row r="140" spans="1:79" ht="12.75">
      <c r="A140" s="97">
        <v>50</v>
      </c>
      <c r="B140" s="73" t="s">
        <v>30</v>
      </c>
      <c r="C140" s="162">
        <f t="shared" si="60"/>
      </c>
      <c r="D140" s="73" t="s">
        <v>79</v>
      </c>
      <c r="E140" s="269" t="e">
        <f t="shared" si="61"/>
        <v>#VALUE!</v>
      </c>
      <c r="F140" s="74" t="s">
        <v>80</v>
      </c>
      <c r="G140" s="272" t="e">
        <f t="shared" si="62"/>
        <v>#VALUE!</v>
      </c>
      <c r="H140" s="74" t="s">
        <v>80</v>
      </c>
      <c r="I140" s="269" t="e">
        <f t="shared" si="63"/>
        <v>#VALUE!</v>
      </c>
      <c r="J140" s="74" t="s">
        <v>81</v>
      </c>
      <c r="K140" s="158" t="e">
        <f t="shared" si="64"/>
        <v>#VALUE!</v>
      </c>
      <c r="L140" s="165"/>
      <c r="M140" s="73"/>
      <c r="N140" s="75"/>
      <c r="O140" s="73"/>
      <c r="P140" s="160">
        <f>IF(Istruzioni!$E$7&lt;&gt;"",CostoUnitMatPrima*Qtà,"")</f>
      </c>
      <c r="Q140" s="72" t="s">
        <v>224</v>
      </c>
      <c r="R140" s="272" t="e">
        <f>IF(Z140,P140*(-S140*Valori!$B$14/100+1)*(T140*Valori!$C$14/100+1)*(U140*Valori!$D$14/100+1)+K140,"ERRORE")</f>
        <v>#VALUE!</v>
      </c>
      <c r="S140" s="71">
        <v>1</v>
      </c>
      <c r="T140" s="77">
        <v>1</v>
      </c>
      <c r="U140" s="70">
        <v>1</v>
      </c>
      <c r="V140" s="160" t="e">
        <f>IF(Z140,R140*(1&amp;","&amp;Valori!$B$7),"ERRORE")</f>
        <v>#VALUE!</v>
      </c>
      <c r="W140" s="109">
        <f t="shared" si="59"/>
        <v>1</v>
      </c>
      <c r="X140" s="109">
        <f t="shared" si="59"/>
        <v>1</v>
      </c>
      <c r="Y140" s="109">
        <f t="shared" si="59"/>
        <v>1</v>
      </c>
      <c r="Z140" s="110" t="b">
        <f t="shared" si="65"/>
        <v>1</v>
      </c>
      <c r="AA140" s="153"/>
      <c r="AB140"/>
      <c r="AC140" s="284"/>
      <c r="CA140" s="7"/>
    </row>
    <row r="141" spans="1:79" ht="12.75">
      <c r="A141" s="97">
        <v>75</v>
      </c>
      <c r="B141" s="73" t="s">
        <v>30</v>
      </c>
      <c r="C141" s="162">
        <f t="shared" si="60"/>
      </c>
      <c r="D141" s="73" t="s">
        <v>79</v>
      </c>
      <c r="E141" s="269" t="e">
        <f t="shared" si="61"/>
        <v>#VALUE!</v>
      </c>
      <c r="F141" s="74" t="s">
        <v>80</v>
      </c>
      <c r="G141" s="272" t="e">
        <f t="shared" si="62"/>
        <v>#VALUE!</v>
      </c>
      <c r="H141" s="74" t="s">
        <v>80</v>
      </c>
      <c r="I141" s="269" t="e">
        <f t="shared" si="63"/>
        <v>#VALUE!</v>
      </c>
      <c r="J141" s="74" t="s">
        <v>81</v>
      </c>
      <c r="K141" s="158" t="e">
        <f t="shared" si="64"/>
        <v>#VALUE!</v>
      </c>
      <c r="L141" s="165"/>
      <c r="M141" s="73"/>
      <c r="N141" s="75"/>
      <c r="O141" s="73"/>
      <c r="P141" s="160">
        <f>IF(Istruzioni!$E$7&lt;&gt;"",CostoUnitMatPrima*Qtà,"")</f>
      </c>
      <c r="Q141" s="72" t="s">
        <v>225</v>
      </c>
      <c r="R141" s="272" t="e">
        <f>IF(Z141,P141*(-S141*Valori!$B$14/100+1)*(T141*Valori!$C$14/100+1)*(U141*Valori!$D$14/100+1)+K141,"ERRORE")</f>
        <v>#VALUE!</v>
      </c>
      <c r="S141" s="71">
        <v>1</v>
      </c>
      <c r="T141" s="77">
        <v>1</v>
      </c>
      <c r="U141" s="70">
        <v>1</v>
      </c>
      <c r="V141" s="160" t="e">
        <f>IF(Z141,R141*(1&amp;","&amp;Valori!$B$7),"ERRORE")</f>
        <v>#VALUE!</v>
      </c>
      <c r="W141" s="109">
        <f t="shared" si="59"/>
        <v>1</v>
      </c>
      <c r="X141" s="109">
        <f t="shared" si="59"/>
        <v>1</v>
      </c>
      <c r="Y141" s="109">
        <f t="shared" si="59"/>
        <v>1</v>
      </c>
      <c r="Z141" s="110" t="b">
        <f t="shared" si="65"/>
        <v>1</v>
      </c>
      <c r="AA141" s="153"/>
      <c r="AB141"/>
      <c r="AC141" s="284"/>
      <c r="CA141" s="7"/>
    </row>
    <row r="142" spans="1:79" ht="12.75">
      <c r="A142" s="97">
        <v>120</v>
      </c>
      <c r="B142" s="73" t="s">
        <v>30</v>
      </c>
      <c r="C142" s="162">
        <f t="shared" si="60"/>
      </c>
      <c r="D142" s="73" t="s">
        <v>79</v>
      </c>
      <c r="E142" s="269" t="e">
        <f t="shared" si="61"/>
        <v>#VALUE!</v>
      </c>
      <c r="F142" s="74" t="s">
        <v>80</v>
      </c>
      <c r="G142" s="272" t="e">
        <f t="shared" si="62"/>
        <v>#VALUE!</v>
      </c>
      <c r="H142" s="74" t="s">
        <v>80</v>
      </c>
      <c r="I142" s="269" t="e">
        <f t="shared" si="63"/>
        <v>#VALUE!</v>
      </c>
      <c r="J142" s="74" t="s">
        <v>81</v>
      </c>
      <c r="K142" s="158" t="e">
        <f t="shared" si="64"/>
        <v>#VALUE!</v>
      </c>
      <c r="L142" s="165"/>
      <c r="M142" s="73"/>
      <c r="N142" s="75"/>
      <c r="O142" s="73"/>
      <c r="P142" s="160">
        <f>IF(Istruzioni!$E$7&lt;&gt;"",CostoUnitMatPrima*Qtà,"")</f>
      </c>
      <c r="Q142" s="72" t="s">
        <v>226</v>
      </c>
      <c r="R142" s="272" t="e">
        <f>IF(Z142,P142*(-S142*Valori!$B$14/100+1)*(T142*Valori!$C$14/100+1)*(U142*Valori!$D$14/100+1)+K142,"ERRORE")</f>
        <v>#VALUE!</v>
      </c>
      <c r="S142" s="71">
        <v>1</v>
      </c>
      <c r="T142" s="77">
        <v>1</v>
      </c>
      <c r="U142" s="70">
        <v>1</v>
      </c>
      <c r="V142" s="160" t="e">
        <f>IF(Z142,R142*(1&amp;","&amp;Valori!$B$7),"ERRORE")</f>
        <v>#VALUE!</v>
      </c>
      <c r="W142" s="109">
        <f t="shared" si="59"/>
        <v>1</v>
      </c>
      <c r="X142" s="109">
        <f t="shared" si="59"/>
        <v>1</v>
      </c>
      <c r="Y142" s="109">
        <f t="shared" si="59"/>
        <v>1</v>
      </c>
      <c r="Z142" s="110" t="b">
        <f t="shared" si="65"/>
        <v>1</v>
      </c>
      <c r="AA142" s="153"/>
      <c r="AB142"/>
      <c r="AC142" s="284"/>
      <c r="CA142" s="7"/>
    </row>
    <row r="143" spans="1:79" ht="12.75">
      <c r="A143" s="76"/>
      <c r="B143" s="73" t="s">
        <v>30</v>
      </c>
      <c r="C143" s="162">
        <f t="shared" si="60"/>
      </c>
      <c r="D143" s="73" t="s">
        <v>79</v>
      </c>
      <c r="E143" s="269" t="e">
        <f t="shared" si="61"/>
        <v>#VALUE!</v>
      </c>
      <c r="F143" s="74" t="s">
        <v>80</v>
      </c>
      <c r="G143" s="272" t="e">
        <f t="shared" si="62"/>
        <v>#VALUE!</v>
      </c>
      <c r="H143" s="74" t="s">
        <v>80</v>
      </c>
      <c r="I143" s="269" t="e">
        <f t="shared" si="63"/>
        <v>#VALUE!</v>
      </c>
      <c r="J143" s="74" t="s">
        <v>81</v>
      </c>
      <c r="K143" s="158" t="e">
        <f t="shared" si="64"/>
        <v>#VALUE!</v>
      </c>
      <c r="L143" s="164">
        <v>0.27</v>
      </c>
      <c r="M143" s="73" t="s">
        <v>30</v>
      </c>
      <c r="N143" s="97">
        <v>1</v>
      </c>
      <c r="O143" s="73" t="s">
        <v>79</v>
      </c>
      <c r="P143" s="160">
        <f>IF(Istruzioni!$E$7&lt;&gt;"",CostoUnitMatPrima*Qtà,"")</f>
      </c>
      <c r="Q143" s="72" t="s">
        <v>227</v>
      </c>
      <c r="R143" s="272" t="e">
        <f>IF(Z143,P143*(-S143*Valori!$B$14/100+1)*(T143*Valori!$C$14/100+1)*(U143*Valori!$D$14/100+1)+K143,"ERRORE")</f>
        <v>#VALUE!</v>
      </c>
      <c r="S143" s="94">
        <v>1</v>
      </c>
      <c r="T143" s="98">
        <v>1</v>
      </c>
      <c r="U143" s="93">
        <v>1</v>
      </c>
      <c r="V143" s="160" t="e">
        <f>IF(Z143,R143*(1&amp;","&amp;Valori!$B$7),"ERRORE")</f>
        <v>#VALUE!</v>
      </c>
      <c r="W143" s="109">
        <f t="shared" si="59"/>
        <v>1</v>
      </c>
      <c r="X143" s="109">
        <f t="shared" si="59"/>
        <v>1</v>
      </c>
      <c r="Y143" s="109">
        <f t="shared" si="59"/>
        <v>1</v>
      </c>
      <c r="Z143" s="110" t="b">
        <f t="shared" si="65"/>
        <v>1</v>
      </c>
      <c r="AA143" s="153"/>
      <c r="AB143"/>
      <c r="AC143" s="284"/>
      <c r="CA143" s="7"/>
    </row>
    <row r="144" spans="1:79" ht="12.75">
      <c r="A144" s="76"/>
      <c r="B144" s="73" t="s">
        <v>30</v>
      </c>
      <c r="C144" s="162">
        <f t="shared" si="60"/>
      </c>
      <c r="D144" s="73" t="s">
        <v>79</v>
      </c>
      <c r="E144" s="269" t="e">
        <f t="shared" si="61"/>
        <v>#VALUE!</v>
      </c>
      <c r="F144" s="74" t="s">
        <v>80</v>
      </c>
      <c r="G144" s="272" t="e">
        <f t="shared" si="62"/>
        <v>#VALUE!</v>
      </c>
      <c r="H144" s="74" t="s">
        <v>80</v>
      </c>
      <c r="I144" s="269" t="e">
        <f t="shared" si="63"/>
        <v>#VALUE!</v>
      </c>
      <c r="J144" s="74" t="s">
        <v>81</v>
      </c>
      <c r="K144" s="158" t="e">
        <f t="shared" si="64"/>
        <v>#VALUE!</v>
      </c>
      <c r="L144" s="164">
        <v>0.44</v>
      </c>
      <c r="M144" s="73" t="s">
        <v>30</v>
      </c>
      <c r="N144" s="97">
        <v>1</v>
      </c>
      <c r="O144" s="73" t="s">
        <v>79</v>
      </c>
      <c r="P144" s="160">
        <f>IF(Istruzioni!$E$7&lt;&gt;"",CostoUnitMatPrima*Qtà,"")</f>
      </c>
      <c r="Q144" s="72" t="s">
        <v>228</v>
      </c>
      <c r="R144" s="272" t="e">
        <f>IF(Z144,P144*(-S144*Valori!$B$14/100+1)*(T144*Valori!$C$14/100+1)*(U144*Valori!$D$14/100+1)+K144,"ERRORE")</f>
        <v>#VALUE!</v>
      </c>
      <c r="S144" s="94">
        <v>1</v>
      </c>
      <c r="T144" s="98">
        <v>1</v>
      </c>
      <c r="U144" s="93">
        <v>1</v>
      </c>
      <c r="V144" s="160" t="e">
        <f>IF(Z144,R144*(1&amp;","&amp;Valori!$B$7),"ERRORE")</f>
        <v>#VALUE!</v>
      </c>
      <c r="W144" s="109">
        <f t="shared" si="59"/>
        <v>1</v>
      </c>
      <c r="X144" s="109">
        <f t="shared" si="59"/>
        <v>1</v>
      </c>
      <c r="Y144" s="109">
        <f t="shared" si="59"/>
        <v>1</v>
      </c>
      <c r="Z144" s="110" t="b">
        <f t="shared" si="65"/>
        <v>1</v>
      </c>
      <c r="AA144" s="153"/>
      <c r="AB144"/>
      <c r="AC144" s="284"/>
      <c r="CA144" s="7"/>
    </row>
    <row r="145" spans="1:79" s="51" customFormat="1" ht="12.75">
      <c r="A145" s="117"/>
      <c r="B145" s="30"/>
      <c r="C145" s="36"/>
      <c r="D145" s="30"/>
      <c r="E145" s="271"/>
      <c r="F145" s="35"/>
      <c r="G145" s="271"/>
      <c r="H145" s="35"/>
      <c r="I145" s="271"/>
      <c r="J145" s="35"/>
      <c r="K145" s="11"/>
      <c r="L145" s="20"/>
      <c r="M145" s="30"/>
      <c r="N145" s="21"/>
      <c r="O145" s="30"/>
      <c r="P145" s="11"/>
      <c r="Q145" s="17" t="s">
        <v>31</v>
      </c>
      <c r="R145" s="271"/>
      <c r="S145" s="22"/>
      <c r="T145" s="22"/>
      <c r="U145" s="22"/>
      <c r="V145" s="150">
        <f>IF(Istruzioni!$E$7&lt;&gt;"",Istruzioni!$G$12,"")</f>
      </c>
      <c r="W145" s="109"/>
      <c r="X145" s="109"/>
      <c r="Y145" s="109"/>
      <c r="Z145" s="109"/>
      <c r="AA145" s="150"/>
      <c r="AB145"/>
      <c r="AC145" s="284"/>
      <c r="AD145" s="286"/>
      <c r="AG145" s="50"/>
      <c r="AH145" s="50"/>
      <c r="AI145" s="50"/>
      <c r="CA145" s="11"/>
    </row>
    <row r="146" spans="1:79" ht="12.75">
      <c r="A146" s="97">
        <v>60</v>
      </c>
      <c r="B146" s="73" t="s">
        <v>30</v>
      </c>
      <c r="C146" s="162">
        <f aca="true" t="shared" si="66" ref="C146:C154">CostoMinuto</f>
      </c>
      <c r="D146" s="73" t="s">
        <v>79</v>
      </c>
      <c r="E146" s="269" t="e">
        <f aca="true" t="shared" si="67" ref="E146:E154">MinutiLavoro*CostoMinuto</f>
        <v>#VALUE!</v>
      </c>
      <c r="F146" s="74" t="s">
        <v>80</v>
      </c>
      <c r="G146" s="272" t="e">
        <f aca="true" t="shared" si="68" ref="G146:G154">Costi_Variabili/Min_Lavoro_Anno*A146</f>
        <v>#VALUE!</v>
      </c>
      <c r="H146" s="74" t="s">
        <v>80</v>
      </c>
      <c r="I146" s="269" t="e">
        <f aca="true" t="shared" si="69" ref="I146:I154">Costi_Fissi/Min_Lavoro_Anno*A146</f>
        <v>#VALUE!</v>
      </c>
      <c r="J146" s="74" t="s">
        <v>81</v>
      </c>
      <c r="K146" s="158" t="e">
        <f aca="true" t="shared" si="70" ref="K146:K154">SUM(E146+G146+I146)</f>
        <v>#VALUE!</v>
      </c>
      <c r="L146" s="164">
        <v>0.46</v>
      </c>
      <c r="M146" s="73" t="s">
        <v>30</v>
      </c>
      <c r="N146" s="97">
        <v>20</v>
      </c>
      <c r="O146" s="73" t="s">
        <v>79</v>
      </c>
      <c r="P146" s="160">
        <f>IF(Istruzioni!$E$7&lt;&gt;"",CostoUnitMatPrima*Qtà,"")</f>
      </c>
      <c r="Q146" s="72" t="s">
        <v>196</v>
      </c>
      <c r="R146" s="272" t="e">
        <f>IF(Z146,P146*(-S146*Valori!$B$14/100+1)*(T146*Valori!$C$14/100+1)*(U146*Valori!$D$14/100+1)+K146,"ERRORE")</f>
        <v>#VALUE!</v>
      </c>
      <c r="S146" s="94">
        <v>1</v>
      </c>
      <c r="T146" s="98">
        <v>2</v>
      </c>
      <c r="U146" s="93">
        <v>2</v>
      </c>
      <c r="V146" s="160" t="e">
        <f>IF(Z146,R146*(1&amp;","&amp;Valori!$B$7),"ERRORE")</f>
        <v>#VALUE!</v>
      </c>
      <c r="W146" s="109">
        <f t="shared" si="59"/>
        <v>1</v>
      </c>
      <c r="X146" s="109">
        <f t="shared" si="59"/>
        <v>2</v>
      </c>
      <c r="Y146" s="109">
        <f t="shared" si="59"/>
        <v>2</v>
      </c>
      <c r="Z146" s="110" t="b">
        <f aca="true" t="shared" si="71" ref="Z146:Z154">ISNUMBER(W146+X146+Y146)</f>
        <v>1</v>
      </c>
      <c r="AA146" s="152"/>
      <c r="AB146"/>
      <c r="AC146" s="284"/>
      <c r="CA146" s="7"/>
    </row>
    <row r="147" spans="1:79" ht="12.75">
      <c r="A147" s="97">
        <v>60</v>
      </c>
      <c r="B147" s="73" t="s">
        <v>30</v>
      </c>
      <c r="C147" s="162">
        <f t="shared" si="66"/>
      </c>
      <c r="D147" s="73" t="s">
        <v>79</v>
      </c>
      <c r="E147" s="269" t="e">
        <f t="shared" si="67"/>
        <v>#VALUE!</v>
      </c>
      <c r="F147" s="74" t="s">
        <v>80</v>
      </c>
      <c r="G147" s="272" t="e">
        <f t="shared" si="68"/>
        <v>#VALUE!</v>
      </c>
      <c r="H147" s="74" t="s">
        <v>80</v>
      </c>
      <c r="I147" s="269" t="e">
        <f t="shared" si="69"/>
        <v>#VALUE!</v>
      </c>
      <c r="J147" s="74" t="s">
        <v>81</v>
      </c>
      <c r="K147" s="158" t="e">
        <f t="shared" si="70"/>
        <v>#VALUE!</v>
      </c>
      <c r="L147" s="164">
        <v>0.65</v>
      </c>
      <c r="M147" s="73" t="s">
        <v>30</v>
      </c>
      <c r="N147" s="97">
        <v>12</v>
      </c>
      <c r="O147" s="73" t="s">
        <v>79</v>
      </c>
      <c r="P147" s="160">
        <f>IF(Istruzioni!$E$7&lt;&gt;"",CostoUnitMatPrima*Qtà,"")</f>
      </c>
      <c r="Q147" s="72" t="s">
        <v>197</v>
      </c>
      <c r="R147" s="272" t="e">
        <f>IF(Z147,P147*(-S147*Valori!$B$14/100+1)*(T147*Valori!$C$14/100+1)*(U147*Valori!$D$14/100+1)+K147,"ERRORE")</f>
        <v>#VALUE!</v>
      </c>
      <c r="S147" s="94">
        <v>1</v>
      </c>
      <c r="T147" s="98">
        <v>3</v>
      </c>
      <c r="U147" s="93">
        <v>3</v>
      </c>
      <c r="V147" s="160" t="e">
        <f>IF(Z147,R147*(1&amp;","&amp;Valori!$B$7),"ERRORE")</f>
        <v>#VALUE!</v>
      </c>
      <c r="W147" s="109">
        <f t="shared" si="59"/>
        <v>1</v>
      </c>
      <c r="X147" s="109">
        <f t="shared" si="59"/>
        <v>3</v>
      </c>
      <c r="Y147" s="109">
        <f t="shared" si="59"/>
        <v>3</v>
      </c>
      <c r="Z147" s="110" t="b">
        <f t="shared" si="71"/>
        <v>1</v>
      </c>
      <c r="AA147" s="153"/>
      <c r="AB147"/>
      <c r="AC147" s="284"/>
      <c r="CA147" s="7"/>
    </row>
    <row r="148" spans="1:79" ht="12.75">
      <c r="A148" s="97">
        <v>60</v>
      </c>
      <c r="B148" s="73" t="s">
        <v>30</v>
      </c>
      <c r="C148" s="162">
        <f t="shared" si="66"/>
      </c>
      <c r="D148" s="73" t="s">
        <v>79</v>
      </c>
      <c r="E148" s="269" t="e">
        <f t="shared" si="67"/>
        <v>#VALUE!</v>
      </c>
      <c r="F148" s="74" t="s">
        <v>80</v>
      </c>
      <c r="G148" s="272" t="e">
        <f t="shared" si="68"/>
        <v>#VALUE!</v>
      </c>
      <c r="H148" s="74" t="s">
        <v>80</v>
      </c>
      <c r="I148" s="269" t="e">
        <f t="shared" si="69"/>
        <v>#VALUE!</v>
      </c>
      <c r="J148" s="74" t="s">
        <v>81</v>
      </c>
      <c r="K148" s="158" t="e">
        <f t="shared" si="70"/>
        <v>#VALUE!</v>
      </c>
      <c r="L148" s="164">
        <v>7.15</v>
      </c>
      <c r="M148" s="73" t="s">
        <v>30</v>
      </c>
      <c r="N148" s="97">
        <v>3</v>
      </c>
      <c r="O148" s="73" t="s">
        <v>79</v>
      </c>
      <c r="P148" s="160">
        <f>IF(Istruzioni!$E$7&lt;&gt;"",CostoUnitMatPrima*Qtà,"")</f>
      </c>
      <c r="Q148" s="72" t="s">
        <v>198</v>
      </c>
      <c r="R148" s="272" t="e">
        <f>IF(Z148,P148*(-S148*Valori!$B$14/100+1)*(T148*Valori!$C$14/100+1)*(U148*Valori!$D$14/100+1)+K148,"ERRORE")</f>
        <v>#VALUE!</v>
      </c>
      <c r="S148" s="94">
        <v>1</v>
      </c>
      <c r="T148" s="98">
        <v>3</v>
      </c>
      <c r="U148" s="93">
        <v>4</v>
      </c>
      <c r="V148" s="160" t="e">
        <f>IF(Z148,R148*(1&amp;","&amp;Valori!$B$7),"ERRORE")</f>
        <v>#VALUE!</v>
      </c>
      <c r="W148" s="109">
        <f t="shared" si="59"/>
        <v>1</v>
      </c>
      <c r="X148" s="109">
        <f t="shared" si="59"/>
        <v>3</v>
      </c>
      <c r="Y148" s="109">
        <f t="shared" si="59"/>
        <v>4</v>
      </c>
      <c r="Z148" s="110" t="b">
        <f t="shared" si="71"/>
        <v>1</v>
      </c>
      <c r="AA148" s="153"/>
      <c r="AB148"/>
      <c r="AC148" s="284"/>
      <c r="CA148" s="7"/>
    </row>
    <row r="149" spans="1:79" ht="12.75">
      <c r="A149" s="97">
        <v>60</v>
      </c>
      <c r="B149" s="73" t="s">
        <v>30</v>
      </c>
      <c r="C149" s="162">
        <f t="shared" si="66"/>
      </c>
      <c r="D149" s="73" t="s">
        <v>79</v>
      </c>
      <c r="E149" s="269" t="e">
        <f t="shared" si="67"/>
        <v>#VALUE!</v>
      </c>
      <c r="F149" s="74" t="s">
        <v>80</v>
      </c>
      <c r="G149" s="272" t="e">
        <f t="shared" si="68"/>
        <v>#VALUE!</v>
      </c>
      <c r="H149" s="74" t="s">
        <v>80</v>
      </c>
      <c r="I149" s="269" t="e">
        <f t="shared" si="69"/>
        <v>#VALUE!</v>
      </c>
      <c r="J149" s="74" t="s">
        <v>81</v>
      </c>
      <c r="K149" s="158" t="e">
        <f t="shared" si="70"/>
        <v>#VALUE!</v>
      </c>
      <c r="L149" s="164">
        <v>7.88</v>
      </c>
      <c r="M149" s="73" t="s">
        <v>30</v>
      </c>
      <c r="N149" s="97">
        <v>3</v>
      </c>
      <c r="O149" s="73" t="s">
        <v>79</v>
      </c>
      <c r="P149" s="160">
        <f>IF(Istruzioni!$E$7&lt;&gt;"",CostoUnitMatPrima*Qtà,"")</f>
      </c>
      <c r="Q149" s="72" t="s">
        <v>57</v>
      </c>
      <c r="R149" s="272" t="e">
        <f>IF(Z149,P149*(-S149*Valori!$B$14/100+1)*(T149*Valori!$C$14/100+1)*(U149*Valori!$D$14/100+1)+K149,"ERRORE")</f>
        <v>#VALUE!</v>
      </c>
      <c r="S149" s="94">
        <v>1</v>
      </c>
      <c r="T149" s="98">
        <v>3</v>
      </c>
      <c r="U149" s="93">
        <v>4</v>
      </c>
      <c r="V149" s="160" t="e">
        <f>IF(Z149,R149*(1&amp;","&amp;Valori!$B$7),"ERRORE")</f>
        <v>#VALUE!</v>
      </c>
      <c r="W149" s="109">
        <f t="shared" si="59"/>
        <v>1</v>
      </c>
      <c r="X149" s="109">
        <f t="shared" si="59"/>
        <v>3</v>
      </c>
      <c r="Y149" s="109">
        <f t="shared" si="59"/>
        <v>4</v>
      </c>
      <c r="Z149" s="110" t="b">
        <f t="shared" si="71"/>
        <v>1</v>
      </c>
      <c r="AA149" s="153"/>
      <c r="AB149"/>
      <c r="AC149" s="284"/>
      <c r="CA149" s="7"/>
    </row>
    <row r="150" spans="1:79" ht="12.75">
      <c r="A150" s="97">
        <v>60</v>
      </c>
      <c r="B150" s="73" t="s">
        <v>30</v>
      </c>
      <c r="C150" s="162">
        <f t="shared" si="66"/>
      </c>
      <c r="D150" s="73" t="s">
        <v>79</v>
      </c>
      <c r="E150" s="269" t="e">
        <f t="shared" si="67"/>
        <v>#VALUE!</v>
      </c>
      <c r="F150" s="74" t="s">
        <v>80</v>
      </c>
      <c r="G150" s="272" t="e">
        <f t="shared" si="68"/>
        <v>#VALUE!</v>
      </c>
      <c r="H150" s="74" t="s">
        <v>80</v>
      </c>
      <c r="I150" s="269" t="e">
        <f t="shared" si="69"/>
        <v>#VALUE!</v>
      </c>
      <c r="J150" s="74" t="s">
        <v>81</v>
      </c>
      <c r="K150" s="158" t="e">
        <f t="shared" si="70"/>
        <v>#VALUE!</v>
      </c>
      <c r="L150" s="164">
        <v>0.46</v>
      </c>
      <c r="M150" s="73" t="s">
        <v>30</v>
      </c>
      <c r="N150" s="97">
        <v>20</v>
      </c>
      <c r="O150" s="73" t="s">
        <v>79</v>
      </c>
      <c r="P150" s="160">
        <f>IF(Istruzioni!$E$7&lt;&gt;"",CostoUnitMatPrima*Qtà,"")</f>
      </c>
      <c r="Q150" s="72" t="s">
        <v>59</v>
      </c>
      <c r="R150" s="272" t="e">
        <f>IF(Z150,P150*(-S150*Valori!$B$14/100+1)*(T150*Valori!$C$14/100+1)*(U150*Valori!$D$14/100+1)+K150,"ERRORE")</f>
        <v>#VALUE!</v>
      </c>
      <c r="S150" s="94">
        <v>1</v>
      </c>
      <c r="T150" s="98">
        <v>3</v>
      </c>
      <c r="U150" s="93">
        <v>2</v>
      </c>
      <c r="V150" s="160" t="e">
        <f>IF(Z150,R150*(1&amp;","&amp;Valori!$B$7),"ERRORE")</f>
        <v>#VALUE!</v>
      </c>
      <c r="W150" s="109">
        <f t="shared" si="59"/>
        <v>1</v>
      </c>
      <c r="X150" s="109">
        <f t="shared" si="59"/>
        <v>3</v>
      </c>
      <c r="Y150" s="109">
        <f t="shared" si="59"/>
        <v>2</v>
      </c>
      <c r="Z150" s="110" t="b">
        <f t="shared" si="71"/>
        <v>1</v>
      </c>
      <c r="AA150" s="153"/>
      <c r="AB150"/>
      <c r="AC150" s="284"/>
      <c r="CA150" s="7"/>
    </row>
    <row r="151" spans="1:79" ht="12.75">
      <c r="A151" s="97">
        <v>60</v>
      </c>
      <c r="B151" s="73" t="s">
        <v>30</v>
      </c>
      <c r="C151" s="162">
        <f t="shared" si="66"/>
      </c>
      <c r="D151" s="73" t="s">
        <v>79</v>
      </c>
      <c r="E151" s="269" t="e">
        <f t="shared" si="67"/>
        <v>#VALUE!</v>
      </c>
      <c r="F151" s="74" t="s">
        <v>80</v>
      </c>
      <c r="G151" s="272" t="e">
        <f t="shared" si="68"/>
        <v>#VALUE!</v>
      </c>
      <c r="H151" s="74" t="s">
        <v>80</v>
      </c>
      <c r="I151" s="269" t="e">
        <f t="shared" si="69"/>
        <v>#VALUE!</v>
      </c>
      <c r="J151" s="74" t="s">
        <v>81</v>
      </c>
      <c r="K151" s="158" t="e">
        <f t="shared" si="70"/>
        <v>#VALUE!</v>
      </c>
      <c r="L151" s="164">
        <v>0.55</v>
      </c>
      <c r="M151" s="73" t="s">
        <v>30</v>
      </c>
      <c r="N151" s="97">
        <v>12</v>
      </c>
      <c r="O151" s="73" t="s">
        <v>79</v>
      </c>
      <c r="P151" s="160">
        <f>IF(Istruzioni!$E$7&lt;&gt;"",CostoUnitMatPrima*Qtà,"")</f>
      </c>
      <c r="Q151" s="72" t="s">
        <v>60</v>
      </c>
      <c r="R151" s="272" t="e">
        <f>IF(Z151,P151*(-S151*Valori!$B$14/100+1)*(T151*Valori!$C$14/100+1)*(U151*Valori!$D$14/100+1)+K151,"ERRORE")</f>
        <v>#VALUE!</v>
      </c>
      <c r="S151" s="94">
        <v>1</v>
      </c>
      <c r="T151" s="98">
        <v>3</v>
      </c>
      <c r="U151" s="93">
        <v>3</v>
      </c>
      <c r="V151" s="160" t="e">
        <f>IF(Z151,R151*(1&amp;","&amp;Valori!$B$7),"ERRORE")</f>
        <v>#VALUE!</v>
      </c>
      <c r="W151" s="109">
        <f aca="true" t="shared" si="72" ref="W151:Y165">IF(S151&lt;=0,"errore",IF(S151&gt;5,"errore",S151))</f>
        <v>1</v>
      </c>
      <c r="X151" s="109">
        <f t="shared" si="72"/>
        <v>3</v>
      </c>
      <c r="Y151" s="109">
        <f t="shared" si="72"/>
        <v>3</v>
      </c>
      <c r="Z151" s="110" t="b">
        <f t="shared" si="71"/>
        <v>1</v>
      </c>
      <c r="AA151" s="153"/>
      <c r="AB151"/>
      <c r="AC151" s="284"/>
      <c r="CA151" s="7"/>
    </row>
    <row r="152" spans="1:79" ht="12.75">
      <c r="A152" s="97">
        <v>60</v>
      </c>
      <c r="B152" s="73" t="s">
        <v>30</v>
      </c>
      <c r="C152" s="162">
        <f t="shared" si="66"/>
      </c>
      <c r="D152" s="73" t="s">
        <v>79</v>
      </c>
      <c r="E152" s="269" t="e">
        <f t="shared" si="67"/>
        <v>#VALUE!</v>
      </c>
      <c r="F152" s="74" t="s">
        <v>80</v>
      </c>
      <c r="G152" s="272" t="e">
        <f t="shared" si="68"/>
        <v>#VALUE!</v>
      </c>
      <c r="H152" s="74" t="s">
        <v>80</v>
      </c>
      <c r="I152" s="269" t="e">
        <f t="shared" si="69"/>
        <v>#VALUE!</v>
      </c>
      <c r="J152" s="74" t="s">
        <v>81</v>
      </c>
      <c r="K152" s="158" t="e">
        <f t="shared" si="70"/>
        <v>#VALUE!</v>
      </c>
      <c r="L152" s="164">
        <v>0.55</v>
      </c>
      <c r="M152" s="73" t="s">
        <v>30</v>
      </c>
      <c r="N152" s="97">
        <v>24</v>
      </c>
      <c r="O152" s="73" t="s">
        <v>79</v>
      </c>
      <c r="P152" s="160">
        <f>IF(Istruzioni!$E$7&lt;&gt;"",CostoUnitMatPrima*Qtà,"")</f>
      </c>
      <c r="Q152" s="72" t="s">
        <v>61</v>
      </c>
      <c r="R152" s="272" t="e">
        <f>IF(Z152,P152*(-S152*Valori!$B$14/100+1)*(T152*Valori!$C$14/100+1)*(U152*Valori!$D$14/100+1)+K152,"ERRORE")</f>
        <v>#VALUE!</v>
      </c>
      <c r="S152" s="94">
        <v>1</v>
      </c>
      <c r="T152" s="98">
        <v>3</v>
      </c>
      <c r="U152" s="93">
        <v>3</v>
      </c>
      <c r="V152" s="160" t="e">
        <f>IF(Z152,R152*(1&amp;","&amp;Valori!$B$7),"ERRORE")</f>
        <v>#VALUE!</v>
      </c>
      <c r="W152" s="109">
        <f t="shared" si="72"/>
        <v>1</v>
      </c>
      <c r="X152" s="109">
        <f t="shared" si="72"/>
        <v>3</v>
      </c>
      <c r="Y152" s="109">
        <f t="shared" si="72"/>
        <v>3</v>
      </c>
      <c r="Z152" s="110" t="b">
        <f t="shared" si="71"/>
        <v>1</v>
      </c>
      <c r="AA152" s="153"/>
      <c r="AB152"/>
      <c r="AC152" s="284"/>
      <c r="CA152" s="7"/>
    </row>
    <row r="153" spans="1:79" ht="12.75">
      <c r="A153" s="97">
        <v>60</v>
      </c>
      <c r="B153" s="73" t="s">
        <v>30</v>
      </c>
      <c r="C153" s="162">
        <f t="shared" si="66"/>
      </c>
      <c r="D153" s="73" t="s">
        <v>79</v>
      </c>
      <c r="E153" s="269" t="e">
        <f t="shared" si="67"/>
        <v>#VALUE!</v>
      </c>
      <c r="F153" s="74" t="s">
        <v>80</v>
      </c>
      <c r="G153" s="272" t="e">
        <f t="shared" si="68"/>
        <v>#VALUE!</v>
      </c>
      <c r="H153" s="74" t="s">
        <v>80</v>
      </c>
      <c r="I153" s="269" t="e">
        <f t="shared" si="69"/>
        <v>#VALUE!</v>
      </c>
      <c r="J153" s="74" t="s">
        <v>81</v>
      </c>
      <c r="K153" s="158" t="e">
        <f t="shared" si="70"/>
        <v>#VALUE!</v>
      </c>
      <c r="L153" s="164">
        <v>3.33</v>
      </c>
      <c r="M153" s="73" t="s">
        <v>30</v>
      </c>
      <c r="N153" s="97">
        <v>3</v>
      </c>
      <c r="O153" s="73" t="s">
        <v>79</v>
      </c>
      <c r="P153" s="160">
        <f>IF(Istruzioni!$E$7&lt;&gt;"",CostoUnitMatPrima*Qtà,"")</f>
      </c>
      <c r="Q153" s="72" t="s">
        <v>62</v>
      </c>
      <c r="R153" s="272" t="e">
        <f>IF(Z153,P153*(-S153*Valori!$B$14/100+1)*(T153*Valori!$C$14/100+1)*(U153*Valori!$D$14/100+1)+K153,"ERRORE")</f>
        <v>#VALUE!</v>
      </c>
      <c r="S153" s="94">
        <v>1</v>
      </c>
      <c r="T153" s="98">
        <v>3</v>
      </c>
      <c r="U153" s="93">
        <v>4</v>
      </c>
      <c r="V153" s="160" t="e">
        <f>IF(Z153,R153*(1&amp;","&amp;Valori!$B$7),"ERRORE")</f>
        <v>#VALUE!</v>
      </c>
      <c r="W153" s="109">
        <f t="shared" si="72"/>
        <v>1</v>
      </c>
      <c r="X153" s="109">
        <f t="shared" si="72"/>
        <v>3</v>
      </c>
      <c r="Y153" s="109">
        <f t="shared" si="72"/>
        <v>4</v>
      </c>
      <c r="Z153" s="110" t="b">
        <f t="shared" si="71"/>
        <v>1</v>
      </c>
      <c r="AA153" s="153"/>
      <c r="AB153"/>
      <c r="AC153" s="284"/>
      <c r="CA153" s="7"/>
    </row>
    <row r="154" spans="1:79" ht="12.75">
      <c r="A154" s="97">
        <v>60</v>
      </c>
      <c r="B154" s="73" t="s">
        <v>30</v>
      </c>
      <c r="C154" s="162">
        <f t="shared" si="66"/>
      </c>
      <c r="D154" s="73" t="s">
        <v>79</v>
      </c>
      <c r="E154" s="269" t="e">
        <f t="shared" si="67"/>
        <v>#VALUE!</v>
      </c>
      <c r="F154" s="74" t="s">
        <v>80</v>
      </c>
      <c r="G154" s="272" t="e">
        <f t="shared" si="68"/>
        <v>#VALUE!</v>
      </c>
      <c r="H154" s="74" t="s">
        <v>80</v>
      </c>
      <c r="I154" s="269" t="e">
        <f t="shared" si="69"/>
        <v>#VALUE!</v>
      </c>
      <c r="J154" s="74" t="s">
        <v>81</v>
      </c>
      <c r="K154" s="158" t="e">
        <f t="shared" si="70"/>
        <v>#VALUE!</v>
      </c>
      <c r="L154" s="164">
        <v>5.91</v>
      </c>
      <c r="M154" s="73" t="s">
        <v>30</v>
      </c>
      <c r="N154" s="97">
        <v>3</v>
      </c>
      <c r="O154" s="73" t="s">
        <v>79</v>
      </c>
      <c r="P154" s="160">
        <f>IF(Istruzioni!$E$7&lt;&gt;"",CostoUnitMatPrima*Qtà,"")</f>
      </c>
      <c r="Q154" s="72" t="s">
        <v>63</v>
      </c>
      <c r="R154" s="272" t="e">
        <f>IF(Z154,P154*(-S154*Valori!$B$14/100+1)*(T154*Valori!$C$14/100+1)*(U154*Valori!$D$14/100+1)+K154,"ERRORE")</f>
        <v>#VALUE!</v>
      </c>
      <c r="S154" s="94">
        <v>1</v>
      </c>
      <c r="T154" s="98">
        <v>3</v>
      </c>
      <c r="U154" s="93">
        <v>4</v>
      </c>
      <c r="V154" s="160" t="e">
        <f>IF(Z154,R154*(1&amp;","&amp;Valori!$B$7),"ERRORE")</f>
        <v>#VALUE!</v>
      </c>
      <c r="W154" s="109">
        <f t="shared" si="72"/>
        <v>1</v>
      </c>
      <c r="X154" s="109">
        <f t="shared" si="72"/>
        <v>3</v>
      </c>
      <c r="Y154" s="109">
        <f t="shared" si="72"/>
        <v>4</v>
      </c>
      <c r="Z154" s="110" t="b">
        <f t="shared" si="71"/>
        <v>1</v>
      </c>
      <c r="AA154" s="153"/>
      <c r="AB154"/>
      <c r="AC154" s="284"/>
      <c r="CA154" s="7"/>
    </row>
    <row r="155" spans="1:79" s="51" customFormat="1" ht="12.75">
      <c r="A155" s="117"/>
      <c r="B155" s="30"/>
      <c r="C155" s="36"/>
      <c r="D155" s="30"/>
      <c r="E155" s="271"/>
      <c r="F155" s="35"/>
      <c r="G155" s="271"/>
      <c r="H155" s="35"/>
      <c r="I155" s="271"/>
      <c r="J155" s="35"/>
      <c r="K155" s="11"/>
      <c r="L155" s="20"/>
      <c r="M155" s="30"/>
      <c r="N155" s="21"/>
      <c r="O155" s="30"/>
      <c r="P155" s="11"/>
      <c r="Q155" s="17" t="s">
        <v>32</v>
      </c>
      <c r="R155" s="271"/>
      <c r="S155" s="22"/>
      <c r="T155" s="22"/>
      <c r="U155" s="22"/>
      <c r="V155" s="150">
        <f>IF(Istruzioni!$E$7&lt;&gt;"",Istruzioni!$G$12,"")</f>
      </c>
      <c r="W155" s="109"/>
      <c r="X155" s="109"/>
      <c r="Y155" s="109"/>
      <c r="Z155" s="109"/>
      <c r="AA155" s="150"/>
      <c r="AB155"/>
      <c r="AC155" s="284"/>
      <c r="AD155" s="286"/>
      <c r="AG155" s="50"/>
      <c r="AH155" s="50"/>
      <c r="AI155" s="50"/>
      <c r="CA155" s="11"/>
    </row>
    <row r="156" spans="1:79" ht="12.75">
      <c r="A156" s="97">
        <v>5</v>
      </c>
      <c r="B156" s="73" t="s">
        <v>30</v>
      </c>
      <c r="C156" s="162">
        <f aca="true" t="shared" si="73" ref="C156:C165">CostoMinuto</f>
      </c>
      <c r="D156" s="73" t="s">
        <v>79</v>
      </c>
      <c r="E156" s="269" t="e">
        <f aca="true" t="shared" si="74" ref="E156:E165">MinutiLavoro*CostoMinuto</f>
        <v>#VALUE!</v>
      </c>
      <c r="F156" s="74" t="s">
        <v>80</v>
      </c>
      <c r="G156" s="272" t="e">
        <f aca="true" t="shared" si="75" ref="G156:G165">Costi_Variabili/Min_Lavoro_Anno*A156</f>
        <v>#VALUE!</v>
      </c>
      <c r="H156" s="74" t="s">
        <v>80</v>
      </c>
      <c r="I156" s="269" t="e">
        <f aca="true" t="shared" si="76" ref="I156:I165">Costi_Fissi/Min_Lavoro_Anno*A156</f>
        <v>#VALUE!</v>
      </c>
      <c r="J156" s="74" t="s">
        <v>81</v>
      </c>
      <c r="K156" s="158" t="e">
        <f aca="true" t="shared" si="77" ref="K156:K165">SUM(E156+G156+I156)</f>
        <v>#VALUE!</v>
      </c>
      <c r="L156" s="164">
        <v>0.95</v>
      </c>
      <c r="M156" s="73" t="s">
        <v>30</v>
      </c>
      <c r="N156" s="97">
        <v>1</v>
      </c>
      <c r="O156" s="73" t="s">
        <v>79</v>
      </c>
      <c r="P156" s="160">
        <f>IF(Istruzioni!$E$7&lt;&gt;"",CostoUnitMatPrima*Qtà,"")</f>
      </c>
      <c r="Q156" s="72" t="s">
        <v>66</v>
      </c>
      <c r="R156" s="272" t="e">
        <f>IF(Z156,P156*(-S156*Valori!$B$14/100+1)*(T156*Valori!$C$14/100+1)*(U156*Valori!$D$14/100+1)+K156,"ERRORE")</f>
        <v>#VALUE!</v>
      </c>
      <c r="S156" s="94">
        <v>1</v>
      </c>
      <c r="T156" s="98">
        <v>3</v>
      </c>
      <c r="U156" s="93">
        <v>3</v>
      </c>
      <c r="V156" s="160" t="e">
        <f>IF(Z156,R156*(1&amp;","&amp;Valori!$B$7),"ERRORE")</f>
        <v>#VALUE!</v>
      </c>
      <c r="W156" s="109">
        <f t="shared" si="72"/>
        <v>1</v>
      </c>
      <c r="X156" s="109">
        <f t="shared" si="72"/>
        <v>3</v>
      </c>
      <c r="Y156" s="109">
        <f t="shared" si="72"/>
        <v>3</v>
      </c>
      <c r="Z156" s="110" t="b">
        <f aca="true" t="shared" si="78" ref="Z156:Z165">ISNUMBER(W156+X156+Y156)</f>
        <v>1</v>
      </c>
      <c r="AA156" s="152"/>
      <c r="AB156"/>
      <c r="AC156" s="284"/>
      <c r="CA156" s="7"/>
    </row>
    <row r="157" spans="1:79" ht="12.75">
      <c r="A157" s="97">
        <v>5</v>
      </c>
      <c r="B157" s="73" t="s">
        <v>30</v>
      </c>
      <c r="C157" s="162">
        <f t="shared" si="73"/>
      </c>
      <c r="D157" s="73" t="s">
        <v>79</v>
      </c>
      <c r="E157" s="269" t="e">
        <f t="shared" si="74"/>
        <v>#VALUE!</v>
      </c>
      <c r="F157" s="74" t="s">
        <v>80</v>
      </c>
      <c r="G157" s="272" t="e">
        <f t="shared" si="75"/>
        <v>#VALUE!</v>
      </c>
      <c r="H157" s="74" t="s">
        <v>80</v>
      </c>
      <c r="I157" s="269" t="e">
        <f t="shared" si="76"/>
        <v>#VALUE!</v>
      </c>
      <c r="J157" s="74" t="s">
        <v>81</v>
      </c>
      <c r="K157" s="158" t="e">
        <f t="shared" si="77"/>
        <v>#VALUE!</v>
      </c>
      <c r="L157" s="164">
        <v>1.91</v>
      </c>
      <c r="M157" s="73" t="s">
        <v>30</v>
      </c>
      <c r="N157" s="97">
        <v>1</v>
      </c>
      <c r="O157" s="73" t="s">
        <v>79</v>
      </c>
      <c r="P157" s="160">
        <f>IF(Istruzioni!$E$7&lt;&gt;"",CostoUnitMatPrima*Qtà,"")</f>
      </c>
      <c r="Q157" s="72" t="s">
        <v>67</v>
      </c>
      <c r="R157" s="272" t="e">
        <f>IF(Z157,P157*(-S157*Valori!$B$14/100+1)*(T157*Valori!$C$14/100+1)*(U157*Valori!$D$14/100+1)+K157,"ERRORE")</f>
        <v>#VALUE!</v>
      </c>
      <c r="S157" s="94">
        <v>1</v>
      </c>
      <c r="T157" s="98">
        <v>3</v>
      </c>
      <c r="U157" s="93">
        <v>3</v>
      </c>
      <c r="V157" s="160" t="e">
        <f>IF(Z157,R157*(1&amp;","&amp;Valori!$B$7),"ERRORE")</f>
        <v>#VALUE!</v>
      </c>
      <c r="W157" s="109">
        <f t="shared" si="72"/>
        <v>1</v>
      </c>
      <c r="X157" s="109">
        <f t="shared" si="72"/>
        <v>3</v>
      </c>
      <c r="Y157" s="109">
        <f t="shared" si="72"/>
        <v>3</v>
      </c>
      <c r="Z157" s="110" t="b">
        <f t="shared" si="78"/>
        <v>1</v>
      </c>
      <c r="AA157" s="153"/>
      <c r="AB157"/>
      <c r="AC157" s="284"/>
      <c r="CA157" s="7"/>
    </row>
    <row r="158" spans="1:79" ht="12.75">
      <c r="A158" s="97">
        <v>5</v>
      </c>
      <c r="B158" s="73" t="s">
        <v>30</v>
      </c>
      <c r="C158" s="162">
        <f t="shared" si="73"/>
      </c>
      <c r="D158" s="73" t="s">
        <v>79</v>
      </c>
      <c r="E158" s="269" t="e">
        <f t="shared" si="74"/>
        <v>#VALUE!</v>
      </c>
      <c r="F158" s="74" t="s">
        <v>80</v>
      </c>
      <c r="G158" s="272" t="e">
        <f t="shared" si="75"/>
        <v>#VALUE!</v>
      </c>
      <c r="H158" s="74" t="s">
        <v>80</v>
      </c>
      <c r="I158" s="269" t="e">
        <f t="shared" si="76"/>
        <v>#VALUE!</v>
      </c>
      <c r="J158" s="74" t="s">
        <v>81</v>
      </c>
      <c r="K158" s="158" t="e">
        <f t="shared" si="77"/>
        <v>#VALUE!</v>
      </c>
      <c r="L158" s="164">
        <v>4.79</v>
      </c>
      <c r="M158" s="73" t="s">
        <v>30</v>
      </c>
      <c r="N158" s="97">
        <v>1</v>
      </c>
      <c r="O158" s="73" t="s">
        <v>79</v>
      </c>
      <c r="P158" s="160">
        <f>IF(Istruzioni!$E$7&lt;&gt;"",CostoUnitMatPrima*Qtà,"")</f>
      </c>
      <c r="Q158" s="72" t="s">
        <v>68</v>
      </c>
      <c r="R158" s="272" t="e">
        <f>IF(Z158,P158*(-S158*Valori!$B$14/100+1)*(T158*Valori!$C$14/100+1)*(U158*Valori!$D$14/100+1)+K158,"ERRORE")</f>
        <v>#VALUE!</v>
      </c>
      <c r="S158" s="94">
        <v>1</v>
      </c>
      <c r="T158" s="98">
        <v>3</v>
      </c>
      <c r="U158" s="93">
        <v>3</v>
      </c>
      <c r="V158" s="160" t="e">
        <f>IF(Z158,R158*(1&amp;","&amp;Valori!$B$7),"ERRORE")</f>
        <v>#VALUE!</v>
      </c>
      <c r="W158" s="109">
        <f t="shared" si="72"/>
        <v>1</v>
      </c>
      <c r="X158" s="109">
        <f t="shared" si="72"/>
        <v>3</v>
      </c>
      <c r="Y158" s="109">
        <f t="shared" si="72"/>
        <v>3</v>
      </c>
      <c r="Z158" s="110" t="b">
        <f t="shared" si="78"/>
        <v>1</v>
      </c>
      <c r="AA158" s="153"/>
      <c r="AB158"/>
      <c r="AC158" s="284"/>
      <c r="CA158" s="7"/>
    </row>
    <row r="159" spans="1:79" ht="12.75">
      <c r="A159" s="97">
        <v>5</v>
      </c>
      <c r="B159" s="73" t="s">
        <v>30</v>
      </c>
      <c r="C159" s="162">
        <f t="shared" si="73"/>
      </c>
      <c r="D159" s="73" t="s">
        <v>79</v>
      </c>
      <c r="E159" s="269" t="e">
        <f t="shared" si="74"/>
        <v>#VALUE!</v>
      </c>
      <c r="F159" s="74" t="s">
        <v>80</v>
      </c>
      <c r="G159" s="272" t="e">
        <f t="shared" si="75"/>
        <v>#VALUE!</v>
      </c>
      <c r="H159" s="74" t="s">
        <v>80</v>
      </c>
      <c r="I159" s="269" t="e">
        <f t="shared" si="76"/>
        <v>#VALUE!</v>
      </c>
      <c r="J159" s="74" t="s">
        <v>81</v>
      </c>
      <c r="K159" s="158" t="e">
        <f t="shared" si="77"/>
        <v>#VALUE!</v>
      </c>
      <c r="L159" s="164">
        <v>15.12</v>
      </c>
      <c r="M159" s="73" t="s">
        <v>30</v>
      </c>
      <c r="N159" s="97">
        <v>1</v>
      </c>
      <c r="O159" s="73" t="s">
        <v>79</v>
      </c>
      <c r="P159" s="160">
        <f>IF(Istruzioni!$E$7&lt;&gt;"",CostoUnitMatPrima*Qtà,"")</f>
      </c>
      <c r="Q159" s="72" t="s">
        <v>69</v>
      </c>
      <c r="R159" s="272" t="e">
        <f>IF(Z159,P159*(-S159*Valori!$B$14/100+1)*(T159*Valori!$C$14/100+1)*(U159*Valori!$D$14/100+1)+K159,"ERRORE")</f>
        <v>#VALUE!</v>
      </c>
      <c r="S159" s="94">
        <v>1</v>
      </c>
      <c r="T159" s="98">
        <v>3</v>
      </c>
      <c r="U159" s="93">
        <v>3</v>
      </c>
      <c r="V159" s="160" t="e">
        <f>IF(Z159,R159*(1&amp;","&amp;Valori!$B$7),"ERRORE")</f>
        <v>#VALUE!</v>
      </c>
      <c r="W159" s="109">
        <f t="shared" si="72"/>
        <v>1</v>
      </c>
      <c r="X159" s="109">
        <f t="shared" si="72"/>
        <v>3</v>
      </c>
      <c r="Y159" s="109">
        <f t="shared" si="72"/>
        <v>3</v>
      </c>
      <c r="Z159" s="110" t="b">
        <f t="shared" si="78"/>
        <v>1</v>
      </c>
      <c r="AA159" s="153"/>
      <c r="AB159"/>
      <c r="AC159" s="284"/>
      <c r="CA159" s="7"/>
    </row>
    <row r="160" spans="1:79" ht="12.75">
      <c r="A160" s="97">
        <v>5</v>
      </c>
      <c r="B160" s="73" t="s">
        <v>30</v>
      </c>
      <c r="C160" s="162">
        <f t="shared" si="73"/>
      </c>
      <c r="D160" s="73" t="s">
        <v>79</v>
      </c>
      <c r="E160" s="269" t="e">
        <f t="shared" si="74"/>
        <v>#VALUE!</v>
      </c>
      <c r="F160" s="74" t="s">
        <v>80</v>
      </c>
      <c r="G160" s="272" t="e">
        <f t="shared" si="75"/>
        <v>#VALUE!</v>
      </c>
      <c r="H160" s="74" t="s">
        <v>80</v>
      </c>
      <c r="I160" s="269" t="e">
        <f t="shared" si="76"/>
        <v>#VALUE!</v>
      </c>
      <c r="J160" s="74" t="s">
        <v>81</v>
      </c>
      <c r="K160" s="158" t="e">
        <f t="shared" si="77"/>
        <v>#VALUE!</v>
      </c>
      <c r="L160" s="164">
        <v>20.32</v>
      </c>
      <c r="M160" s="73" t="s">
        <v>30</v>
      </c>
      <c r="N160" s="97">
        <v>1</v>
      </c>
      <c r="O160" s="73" t="s">
        <v>79</v>
      </c>
      <c r="P160" s="160">
        <f>IF(Istruzioni!$E$7&lt;&gt;"",CostoUnitMatPrima*Qtà,"")</f>
      </c>
      <c r="Q160" s="72" t="s">
        <v>70</v>
      </c>
      <c r="R160" s="272" t="e">
        <f>IF(Z160,P160*(-S160*Valori!$B$14/100+1)*(T160*Valori!$C$14/100+1)*(U160*Valori!$D$14/100+1)+K160,"ERRORE")</f>
        <v>#VALUE!</v>
      </c>
      <c r="S160" s="94">
        <v>1</v>
      </c>
      <c r="T160" s="98">
        <v>3</v>
      </c>
      <c r="U160" s="93">
        <v>3</v>
      </c>
      <c r="V160" s="160" t="e">
        <f>IF(Z160,R160*(1&amp;","&amp;Valori!$B$7),"ERRORE")</f>
        <v>#VALUE!</v>
      </c>
      <c r="W160" s="109">
        <f t="shared" si="72"/>
        <v>1</v>
      </c>
      <c r="X160" s="109">
        <f t="shared" si="72"/>
        <v>3</v>
      </c>
      <c r="Y160" s="109">
        <f t="shared" si="72"/>
        <v>3</v>
      </c>
      <c r="Z160" s="110" t="b">
        <f t="shared" si="78"/>
        <v>1</v>
      </c>
      <c r="AA160" s="153"/>
      <c r="AB160"/>
      <c r="AC160" s="284"/>
      <c r="CA160" s="7"/>
    </row>
    <row r="161" spans="1:79" ht="12.75">
      <c r="A161" s="97">
        <v>5</v>
      </c>
      <c r="B161" s="73" t="s">
        <v>30</v>
      </c>
      <c r="C161" s="162">
        <f t="shared" si="73"/>
      </c>
      <c r="D161" s="73" t="s">
        <v>79</v>
      </c>
      <c r="E161" s="269" t="e">
        <f t="shared" si="74"/>
        <v>#VALUE!</v>
      </c>
      <c r="F161" s="74" t="s">
        <v>80</v>
      </c>
      <c r="G161" s="272" t="e">
        <f t="shared" si="75"/>
        <v>#VALUE!</v>
      </c>
      <c r="H161" s="74" t="s">
        <v>80</v>
      </c>
      <c r="I161" s="269" t="e">
        <f t="shared" si="76"/>
        <v>#VALUE!</v>
      </c>
      <c r="J161" s="74" t="s">
        <v>81</v>
      </c>
      <c r="K161" s="158" t="e">
        <f t="shared" si="77"/>
        <v>#VALUE!</v>
      </c>
      <c r="L161" s="164">
        <v>0.92</v>
      </c>
      <c r="M161" s="73" t="s">
        <v>30</v>
      </c>
      <c r="N161" s="97">
        <v>1</v>
      </c>
      <c r="O161" s="73" t="s">
        <v>79</v>
      </c>
      <c r="P161" s="160">
        <f>IF(Istruzioni!$E$7&lt;&gt;"",CostoUnitMatPrima*Qtà,"")</f>
      </c>
      <c r="Q161" s="72" t="s">
        <v>71</v>
      </c>
      <c r="R161" s="272" t="e">
        <f>IF(Z161,P161*(-S161*Valori!$B$14/100+1)*(T161*Valori!$C$14/100+1)*(U161*Valori!$D$14/100+1)+K161,"ERRORE")</f>
        <v>#VALUE!</v>
      </c>
      <c r="S161" s="94">
        <v>2</v>
      </c>
      <c r="T161" s="98">
        <v>2</v>
      </c>
      <c r="U161" s="93">
        <v>3</v>
      </c>
      <c r="V161" s="160" t="e">
        <f>IF(Z161,R161*(1&amp;","&amp;Valori!$B$7),"ERRORE")</f>
        <v>#VALUE!</v>
      </c>
      <c r="W161" s="109">
        <f t="shared" si="72"/>
        <v>2</v>
      </c>
      <c r="X161" s="109">
        <f t="shared" si="72"/>
        <v>2</v>
      </c>
      <c r="Y161" s="109">
        <f t="shared" si="72"/>
        <v>3</v>
      </c>
      <c r="Z161" s="110" t="b">
        <f t="shared" si="78"/>
        <v>1</v>
      </c>
      <c r="AA161" s="153"/>
      <c r="AB161"/>
      <c r="AC161" s="284"/>
      <c r="CA161" s="7"/>
    </row>
    <row r="162" spans="1:79" ht="12.75">
      <c r="A162" s="97">
        <v>5</v>
      </c>
      <c r="B162" s="73" t="s">
        <v>30</v>
      </c>
      <c r="C162" s="162">
        <f t="shared" si="73"/>
      </c>
      <c r="D162" s="73" t="s">
        <v>79</v>
      </c>
      <c r="E162" s="269" t="e">
        <f t="shared" si="74"/>
        <v>#VALUE!</v>
      </c>
      <c r="F162" s="74" t="s">
        <v>80</v>
      </c>
      <c r="G162" s="272" t="e">
        <f t="shared" si="75"/>
        <v>#VALUE!</v>
      </c>
      <c r="H162" s="74" t="s">
        <v>80</v>
      </c>
      <c r="I162" s="269" t="e">
        <f t="shared" si="76"/>
        <v>#VALUE!</v>
      </c>
      <c r="J162" s="74" t="s">
        <v>81</v>
      </c>
      <c r="K162" s="158" t="e">
        <f t="shared" si="77"/>
        <v>#VALUE!</v>
      </c>
      <c r="L162" s="164">
        <v>1.66</v>
      </c>
      <c r="M162" s="73" t="s">
        <v>30</v>
      </c>
      <c r="N162" s="97">
        <v>1</v>
      </c>
      <c r="O162" s="73" t="s">
        <v>79</v>
      </c>
      <c r="P162" s="160">
        <f>IF(Istruzioni!$E$7&lt;&gt;"",CostoUnitMatPrima*Qtà,"")</f>
      </c>
      <c r="Q162" s="72" t="s">
        <v>72</v>
      </c>
      <c r="R162" s="272" t="e">
        <f>IF(Z162,P162*(-S162*Valori!$B$14/100+1)*(T162*Valori!$C$14/100+1)*(U162*Valori!$D$14/100+1)+K162,"ERRORE")</f>
        <v>#VALUE!</v>
      </c>
      <c r="S162" s="94">
        <v>2</v>
      </c>
      <c r="T162" s="98">
        <v>2</v>
      </c>
      <c r="U162" s="93">
        <v>3</v>
      </c>
      <c r="V162" s="160" t="e">
        <f>IF(Z162,R162*(1&amp;","&amp;Valori!$B$7),"ERRORE")</f>
        <v>#VALUE!</v>
      </c>
      <c r="W162" s="109">
        <f t="shared" si="72"/>
        <v>2</v>
      </c>
      <c r="X162" s="109">
        <f t="shared" si="72"/>
        <v>2</v>
      </c>
      <c r="Y162" s="109">
        <f t="shared" si="72"/>
        <v>3</v>
      </c>
      <c r="Z162" s="110" t="b">
        <f t="shared" si="78"/>
        <v>1</v>
      </c>
      <c r="AA162" s="153"/>
      <c r="AB162"/>
      <c r="AC162" s="284"/>
      <c r="CA162" s="7"/>
    </row>
    <row r="163" spans="1:79" ht="12.75">
      <c r="A163" s="97">
        <v>5</v>
      </c>
      <c r="B163" s="73" t="s">
        <v>30</v>
      </c>
      <c r="C163" s="162">
        <f t="shared" si="73"/>
      </c>
      <c r="D163" s="73" t="s">
        <v>79</v>
      </c>
      <c r="E163" s="269" t="e">
        <f t="shared" si="74"/>
        <v>#VALUE!</v>
      </c>
      <c r="F163" s="74" t="s">
        <v>80</v>
      </c>
      <c r="G163" s="272" t="e">
        <f t="shared" si="75"/>
        <v>#VALUE!</v>
      </c>
      <c r="H163" s="74" t="s">
        <v>80</v>
      </c>
      <c r="I163" s="269" t="e">
        <f t="shared" si="76"/>
        <v>#VALUE!</v>
      </c>
      <c r="J163" s="74" t="s">
        <v>81</v>
      </c>
      <c r="K163" s="158" t="e">
        <f t="shared" si="77"/>
        <v>#VALUE!</v>
      </c>
      <c r="L163" s="164">
        <v>4.77</v>
      </c>
      <c r="M163" s="73" t="s">
        <v>30</v>
      </c>
      <c r="N163" s="97">
        <v>1</v>
      </c>
      <c r="O163" s="73" t="s">
        <v>79</v>
      </c>
      <c r="P163" s="160">
        <f>IF(Istruzioni!$E$7&lt;&gt;"",CostoUnitMatPrima*Qtà,"")</f>
      </c>
      <c r="Q163" s="72" t="s">
        <v>117</v>
      </c>
      <c r="R163" s="272" t="e">
        <f>IF(Z163,P163*(-S163*Valori!$B$14/100+1)*(T163*Valori!$C$14/100+1)*(U163*Valori!$D$14/100+1)+K163,"ERRORE")</f>
        <v>#VALUE!</v>
      </c>
      <c r="S163" s="94">
        <v>2</v>
      </c>
      <c r="T163" s="98">
        <v>2</v>
      </c>
      <c r="U163" s="93">
        <v>3</v>
      </c>
      <c r="V163" s="160" t="e">
        <f>IF(Z163,R163*(1&amp;","&amp;Valori!$B$7),"ERRORE")</f>
        <v>#VALUE!</v>
      </c>
      <c r="W163" s="109">
        <f t="shared" si="72"/>
        <v>2</v>
      </c>
      <c r="X163" s="109">
        <f t="shared" si="72"/>
        <v>2</v>
      </c>
      <c r="Y163" s="109">
        <f t="shared" si="72"/>
        <v>3</v>
      </c>
      <c r="Z163" s="110" t="b">
        <f t="shared" si="78"/>
        <v>1</v>
      </c>
      <c r="AA163" s="153"/>
      <c r="AB163"/>
      <c r="AC163" s="284"/>
      <c r="CA163" s="7"/>
    </row>
    <row r="164" spans="1:79" ht="12.75">
      <c r="A164" s="97">
        <v>5</v>
      </c>
      <c r="B164" s="73" t="s">
        <v>30</v>
      </c>
      <c r="C164" s="162">
        <f t="shared" si="73"/>
      </c>
      <c r="D164" s="73" t="s">
        <v>79</v>
      </c>
      <c r="E164" s="269" t="e">
        <f t="shared" si="74"/>
        <v>#VALUE!</v>
      </c>
      <c r="F164" s="74" t="s">
        <v>80</v>
      </c>
      <c r="G164" s="272" t="e">
        <f t="shared" si="75"/>
        <v>#VALUE!</v>
      </c>
      <c r="H164" s="74" t="s">
        <v>80</v>
      </c>
      <c r="I164" s="269" t="e">
        <f t="shared" si="76"/>
        <v>#VALUE!</v>
      </c>
      <c r="J164" s="74" t="s">
        <v>81</v>
      </c>
      <c r="K164" s="158" t="e">
        <f t="shared" si="77"/>
        <v>#VALUE!</v>
      </c>
      <c r="L164" s="164">
        <v>7.99</v>
      </c>
      <c r="M164" s="73" t="s">
        <v>30</v>
      </c>
      <c r="N164" s="97">
        <v>1</v>
      </c>
      <c r="O164" s="73" t="s">
        <v>79</v>
      </c>
      <c r="P164" s="160">
        <f>IF(Istruzioni!$E$7&lt;&gt;"",CostoUnitMatPrima*Qtà,"")</f>
      </c>
      <c r="Q164" s="72" t="s">
        <v>118</v>
      </c>
      <c r="R164" s="272" t="e">
        <f>IF(Z164,P164*(-S164*Valori!$B$14/100+1)*(T164*Valori!$C$14/100+1)*(U164*Valori!$D$14/100+1)+K164,"ERRORE")</f>
        <v>#VALUE!</v>
      </c>
      <c r="S164" s="94">
        <v>2</v>
      </c>
      <c r="T164" s="98">
        <v>2</v>
      </c>
      <c r="U164" s="93">
        <v>3</v>
      </c>
      <c r="V164" s="160" t="e">
        <f>IF(Z164,R164*(1&amp;","&amp;Valori!$B$7),"ERRORE")</f>
        <v>#VALUE!</v>
      </c>
      <c r="W164" s="109">
        <f t="shared" si="72"/>
        <v>2</v>
      </c>
      <c r="X164" s="109">
        <f t="shared" si="72"/>
        <v>2</v>
      </c>
      <c r="Y164" s="109">
        <f t="shared" si="72"/>
        <v>3</v>
      </c>
      <c r="Z164" s="110" t="b">
        <f t="shared" si="78"/>
        <v>1</v>
      </c>
      <c r="AA164" s="153"/>
      <c r="AB164"/>
      <c r="AC164" s="284"/>
      <c r="CA164" s="7"/>
    </row>
    <row r="165" spans="1:79" ht="12.75">
      <c r="A165" s="97">
        <v>5</v>
      </c>
      <c r="B165" s="73" t="s">
        <v>30</v>
      </c>
      <c r="C165" s="162">
        <f t="shared" si="73"/>
      </c>
      <c r="D165" s="73" t="s">
        <v>79</v>
      </c>
      <c r="E165" s="269" t="e">
        <f t="shared" si="74"/>
        <v>#VALUE!</v>
      </c>
      <c r="F165" s="74" t="s">
        <v>80</v>
      </c>
      <c r="G165" s="272" t="e">
        <f t="shared" si="75"/>
        <v>#VALUE!</v>
      </c>
      <c r="H165" s="74" t="s">
        <v>80</v>
      </c>
      <c r="I165" s="269" t="e">
        <f t="shared" si="76"/>
        <v>#VALUE!</v>
      </c>
      <c r="J165" s="74" t="s">
        <v>81</v>
      </c>
      <c r="K165" s="158" t="e">
        <f t="shared" si="77"/>
        <v>#VALUE!</v>
      </c>
      <c r="L165" s="164">
        <v>12.6</v>
      </c>
      <c r="M165" s="73" t="s">
        <v>30</v>
      </c>
      <c r="N165" s="97">
        <v>1</v>
      </c>
      <c r="O165" s="73" t="s">
        <v>79</v>
      </c>
      <c r="P165" s="160">
        <f>IF(Istruzioni!$E$7&lt;&gt;"",CostoUnitMatPrima*Qtà,"")</f>
      </c>
      <c r="Q165" s="72" t="s">
        <v>119</v>
      </c>
      <c r="R165" s="272" t="e">
        <f>IF(Z165,P165*(-S165*Valori!$B$14/100+1)*(T165*Valori!$C$14/100+1)*(U165*Valori!$D$14/100+1)+K165,"ERRORE")</f>
        <v>#VALUE!</v>
      </c>
      <c r="S165" s="94">
        <v>2</v>
      </c>
      <c r="T165" s="98">
        <v>2</v>
      </c>
      <c r="U165" s="93">
        <v>3</v>
      </c>
      <c r="V165" s="160" t="e">
        <f>IF(Z165,R165*(1&amp;","&amp;Valori!$B$7),"ERRORE")</f>
        <v>#VALUE!</v>
      </c>
      <c r="W165" s="109">
        <f t="shared" si="72"/>
        <v>2</v>
      </c>
      <c r="X165" s="109">
        <f t="shared" si="72"/>
        <v>2</v>
      </c>
      <c r="Y165" s="109">
        <f t="shared" si="72"/>
        <v>3</v>
      </c>
      <c r="Z165" s="110" t="b">
        <f t="shared" si="78"/>
        <v>1</v>
      </c>
      <c r="AA165" s="153"/>
      <c r="AB165"/>
      <c r="AC165" s="284"/>
      <c r="CA165" s="7"/>
    </row>
    <row r="166" spans="1:79" s="51" customFormat="1" ht="12.75">
      <c r="A166" s="117"/>
      <c r="B166" s="30"/>
      <c r="C166" s="36"/>
      <c r="D166" s="30"/>
      <c r="E166" s="271"/>
      <c r="F166" s="35"/>
      <c r="G166" s="271"/>
      <c r="H166" s="35"/>
      <c r="I166" s="271"/>
      <c r="J166" s="35"/>
      <c r="K166" s="11"/>
      <c r="L166" s="20"/>
      <c r="M166" s="30"/>
      <c r="N166" s="21"/>
      <c r="O166" s="30"/>
      <c r="P166" s="11"/>
      <c r="Q166" s="17" t="s">
        <v>33</v>
      </c>
      <c r="R166" s="271"/>
      <c r="S166" s="22"/>
      <c r="T166" s="22"/>
      <c r="U166" s="22"/>
      <c r="V166" s="150">
        <f>IF(Istruzioni!$E$7&lt;&gt;"",Istruzioni!$G$12,"")</f>
      </c>
      <c r="W166" s="109"/>
      <c r="X166" s="109"/>
      <c r="Y166" s="109"/>
      <c r="Z166" s="109"/>
      <c r="AA166" s="150"/>
      <c r="AB166"/>
      <c r="AC166" s="284"/>
      <c r="AD166" s="286"/>
      <c r="AG166" s="50"/>
      <c r="AH166" s="50"/>
      <c r="AI166" s="50"/>
      <c r="CA166" s="11"/>
    </row>
    <row r="167" spans="1:79" ht="12.75">
      <c r="A167" s="97">
        <v>240</v>
      </c>
      <c r="B167" s="73" t="s">
        <v>30</v>
      </c>
      <c r="C167" s="162">
        <f aca="true" t="shared" si="79" ref="C167:C177">CostoMinuto</f>
      </c>
      <c r="D167" s="73" t="s">
        <v>79</v>
      </c>
      <c r="E167" s="269" t="e">
        <f aca="true" t="shared" si="80" ref="E167:E177">MinutiLavoro*CostoMinuto</f>
        <v>#VALUE!</v>
      </c>
      <c r="F167" s="74" t="s">
        <v>80</v>
      </c>
      <c r="G167" s="272" t="e">
        <f aca="true" t="shared" si="81" ref="G167:G177">Costi_Variabili/Min_Lavoro_Anno*A167</f>
        <v>#VALUE!</v>
      </c>
      <c r="H167" s="74" t="s">
        <v>80</v>
      </c>
      <c r="I167" s="269" t="e">
        <f aca="true" t="shared" si="82" ref="I167:I177">Costi_Fissi/Min_Lavoro_Anno*A167</f>
        <v>#VALUE!</v>
      </c>
      <c r="J167" s="74" t="s">
        <v>81</v>
      </c>
      <c r="K167" s="158" t="e">
        <f aca="true" t="shared" si="83" ref="K167:K177">SUM(E167+G167+I167)</f>
        <v>#VALUE!</v>
      </c>
      <c r="L167" s="164">
        <v>61.97</v>
      </c>
      <c r="M167" s="73" t="s">
        <v>30</v>
      </c>
      <c r="N167" s="97">
        <v>1</v>
      </c>
      <c r="O167" s="73" t="s">
        <v>79</v>
      </c>
      <c r="P167" s="160">
        <f>IF(Istruzioni!$E$7&lt;&gt;"",CostoUnitMatPrima*Qtà,"")</f>
      </c>
      <c r="Q167" s="72" t="s">
        <v>34</v>
      </c>
      <c r="R167" s="272" t="e">
        <f>IF(Z167,P167*(-S167*Valori!$B$14/100+1)*(T167*Valori!$C$14/100+1)*(U167*Valori!$D$14/100+1)+K167,"ERRORE")</f>
        <v>#VALUE!</v>
      </c>
      <c r="S167" s="94">
        <v>3</v>
      </c>
      <c r="T167" s="98">
        <v>3</v>
      </c>
      <c r="U167" s="93">
        <v>3</v>
      </c>
      <c r="V167" s="160" t="e">
        <f>IF(Z167,R167*(1&amp;","&amp;Valori!$B$7),"ERRORE")</f>
        <v>#VALUE!</v>
      </c>
      <c r="W167" s="109">
        <f aca="true" t="shared" si="84" ref="W167:Y182">IF(S167&lt;=0,"errore",IF(S167&gt;5,"errore",S167))</f>
        <v>3</v>
      </c>
      <c r="X167" s="109">
        <f t="shared" si="84"/>
        <v>3</v>
      </c>
      <c r="Y167" s="109">
        <f t="shared" si="84"/>
        <v>3</v>
      </c>
      <c r="Z167" s="110" t="b">
        <f aca="true" t="shared" si="85" ref="Z167:Z177">ISNUMBER(W167+X167+Y167)</f>
        <v>1</v>
      </c>
      <c r="AA167" s="152"/>
      <c r="AB167"/>
      <c r="AC167" s="284"/>
      <c r="CA167" s="7"/>
    </row>
    <row r="168" spans="1:79" ht="12.75">
      <c r="A168" s="97">
        <v>120</v>
      </c>
      <c r="B168" s="73" t="s">
        <v>30</v>
      </c>
      <c r="C168" s="162">
        <f t="shared" si="79"/>
      </c>
      <c r="D168" s="73" t="s">
        <v>79</v>
      </c>
      <c r="E168" s="269" t="e">
        <f t="shared" si="80"/>
        <v>#VALUE!</v>
      </c>
      <c r="F168" s="74" t="s">
        <v>80</v>
      </c>
      <c r="G168" s="272" t="e">
        <f t="shared" si="81"/>
        <v>#VALUE!</v>
      </c>
      <c r="H168" s="74" t="s">
        <v>80</v>
      </c>
      <c r="I168" s="269" t="e">
        <f t="shared" si="82"/>
        <v>#VALUE!</v>
      </c>
      <c r="J168" s="74" t="s">
        <v>81</v>
      </c>
      <c r="K168" s="158" t="e">
        <f t="shared" si="83"/>
        <v>#VALUE!</v>
      </c>
      <c r="L168" s="164">
        <v>25.82</v>
      </c>
      <c r="M168" s="73" t="s">
        <v>30</v>
      </c>
      <c r="N168" s="97">
        <v>1</v>
      </c>
      <c r="O168" s="73" t="s">
        <v>79</v>
      </c>
      <c r="P168" s="160">
        <f>IF(Istruzioni!$E$7&lt;&gt;"",CostoUnitMatPrima*Qtà,"")</f>
      </c>
      <c r="Q168" s="72" t="s">
        <v>35</v>
      </c>
      <c r="R168" s="272" t="e">
        <f>IF(Z168,P168*(-S168*Valori!$B$14/100+1)*(T168*Valori!$C$14/100+1)*(U168*Valori!$D$14/100+1)+K168,"ERRORE")</f>
        <v>#VALUE!</v>
      </c>
      <c r="S168" s="94">
        <v>3</v>
      </c>
      <c r="T168" s="98">
        <v>2</v>
      </c>
      <c r="U168" s="93">
        <v>2</v>
      </c>
      <c r="V168" s="160" t="e">
        <f>IF(Z168,R168*(1&amp;","&amp;Valori!$B$7),"ERRORE")</f>
        <v>#VALUE!</v>
      </c>
      <c r="W168" s="109">
        <f t="shared" si="84"/>
        <v>3</v>
      </c>
      <c r="X168" s="109">
        <f t="shared" si="84"/>
        <v>2</v>
      </c>
      <c r="Y168" s="109">
        <f t="shared" si="84"/>
        <v>2</v>
      </c>
      <c r="Z168" s="110" t="b">
        <f t="shared" si="85"/>
        <v>1</v>
      </c>
      <c r="AA168" s="153"/>
      <c r="AB168"/>
      <c r="AC168" s="284"/>
      <c r="CA168" s="7"/>
    </row>
    <row r="169" spans="1:79" ht="12.75">
      <c r="A169" s="97">
        <v>120</v>
      </c>
      <c r="B169" s="73" t="s">
        <v>30</v>
      </c>
      <c r="C169" s="162">
        <f t="shared" si="79"/>
      </c>
      <c r="D169" s="73" t="s">
        <v>79</v>
      </c>
      <c r="E169" s="269" t="e">
        <f t="shared" si="80"/>
        <v>#VALUE!</v>
      </c>
      <c r="F169" s="74" t="s">
        <v>80</v>
      </c>
      <c r="G169" s="272" t="e">
        <f t="shared" si="81"/>
        <v>#VALUE!</v>
      </c>
      <c r="H169" s="74" t="s">
        <v>80</v>
      </c>
      <c r="I169" s="269" t="e">
        <f t="shared" si="82"/>
        <v>#VALUE!</v>
      </c>
      <c r="J169" s="74" t="s">
        <v>81</v>
      </c>
      <c r="K169" s="158" t="e">
        <f t="shared" si="83"/>
        <v>#VALUE!</v>
      </c>
      <c r="L169" s="164">
        <v>20.66</v>
      </c>
      <c r="M169" s="73" t="s">
        <v>30</v>
      </c>
      <c r="N169" s="97">
        <v>1</v>
      </c>
      <c r="O169" s="73" t="s">
        <v>79</v>
      </c>
      <c r="P169" s="160">
        <f>IF(Istruzioni!$E$7&lt;&gt;"",CostoUnitMatPrima*Qtà,"")</f>
      </c>
      <c r="Q169" s="72" t="s">
        <v>36</v>
      </c>
      <c r="R169" s="272" t="e">
        <f>IF(Z169,P169*(-S169*Valori!$B$14/100+1)*(T169*Valori!$C$14/100+1)*(U169*Valori!$D$14/100+1)+K169,"ERRORE")</f>
        <v>#VALUE!</v>
      </c>
      <c r="S169" s="94">
        <v>3</v>
      </c>
      <c r="T169" s="98">
        <v>2</v>
      </c>
      <c r="U169" s="93">
        <v>2</v>
      </c>
      <c r="V169" s="160" t="e">
        <f>IF(Z169,R169*(1&amp;","&amp;Valori!$B$7),"ERRORE")</f>
        <v>#VALUE!</v>
      </c>
      <c r="W169" s="109">
        <f t="shared" si="84"/>
        <v>3</v>
      </c>
      <c r="X169" s="109">
        <f t="shared" si="84"/>
        <v>2</v>
      </c>
      <c r="Y169" s="109">
        <f t="shared" si="84"/>
        <v>2</v>
      </c>
      <c r="Z169" s="110" t="b">
        <f t="shared" si="85"/>
        <v>1</v>
      </c>
      <c r="AA169" s="153"/>
      <c r="AB169"/>
      <c r="AC169" s="284"/>
      <c r="CA169" s="7"/>
    </row>
    <row r="170" spans="1:79" ht="12.75">
      <c r="A170" s="97">
        <v>60</v>
      </c>
      <c r="B170" s="73" t="s">
        <v>30</v>
      </c>
      <c r="C170" s="162">
        <f t="shared" si="79"/>
      </c>
      <c r="D170" s="73" t="s">
        <v>79</v>
      </c>
      <c r="E170" s="269" t="e">
        <f t="shared" si="80"/>
        <v>#VALUE!</v>
      </c>
      <c r="F170" s="74" t="s">
        <v>80</v>
      </c>
      <c r="G170" s="272" t="e">
        <f t="shared" si="81"/>
        <v>#VALUE!</v>
      </c>
      <c r="H170" s="74" t="s">
        <v>80</v>
      </c>
      <c r="I170" s="269" t="e">
        <f t="shared" si="82"/>
        <v>#VALUE!</v>
      </c>
      <c r="J170" s="74" t="s">
        <v>81</v>
      </c>
      <c r="K170" s="158" t="e">
        <f t="shared" si="83"/>
        <v>#VALUE!</v>
      </c>
      <c r="L170" s="164">
        <v>25.82</v>
      </c>
      <c r="M170" s="73" t="s">
        <v>30</v>
      </c>
      <c r="N170" s="97">
        <v>1</v>
      </c>
      <c r="O170" s="73" t="s">
        <v>79</v>
      </c>
      <c r="P170" s="160">
        <f>IF(Istruzioni!$E$7&lt;&gt;"",CostoUnitMatPrima*Qtà,"")</f>
      </c>
      <c r="Q170" s="72" t="s">
        <v>179</v>
      </c>
      <c r="R170" s="272" t="e">
        <f>IF(Z170,P170*(-S170*Valori!$B$14/100+1)*(T170*Valori!$C$14/100+1)*(U170*Valori!$D$14/100+1)+K170,"ERRORE")</f>
        <v>#VALUE!</v>
      </c>
      <c r="S170" s="94">
        <v>3</v>
      </c>
      <c r="T170" s="98">
        <v>1</v>
      </c>
      <c r="U170" s="93">
        <v>1</v>
      </c>
      <c r="V170" s="160" t="e">
        <f>IF(Z170,R170*(1&amp;","&amp;Valori!$B$7),"ERRORE")</f>
        <v>#VALUE!</v>
      </c>
      <c r="W170" s="109">
        <f t="shared" si="84"/>
        <v>3</v>
      </c>
      <c r="X170" s="109">
        <f t="shared" si="84"/>
        <v>1</v>
      </c>
      <c r="Y170" s="109">
        <f t="shared" si="84"/>
        <v>1</v>
      </c>
      <c r="Z170" s="110" t="b">
        <f t="shared" si="85"/>
        <v>1</v>
      </c>
      <c r="AA170" s="153"/>
      <c r="AB170"/>
      <c r="AC170" s="284"/>
      <c r="CA170" s="7"/>
    </row>
    <row r="171" spans="1:79" ht="12.75">
      <c r="A171" s="97">
        <v>7</v>
      </c>
      <c r="B171" s="73" t="s">
        <v>30</v>
      </c>
      <c r="C171" s="162">
        <f t="shared" si="79"/>
      </c>
      <c r="D171" s="73" t="s">
        <v>79</v>
      </c>
      <c r="E171" s="269" t="e">
        <f t="shared" si="80"/>
        <v>#VALUE!</v>
      </c>
      <c r="F171" s="74" t="s">
        <v>80</v>
      </c>
      <c r="G171" s="272" t="e">
        <f t="shared" si="81"/>
        <v>#VALUE!</v>
      </c>
      <c r="H171" s="74" t="s">
        <v>80</v>
      </c>
      <c r="I171" s="269" t="e">
        <f t="shared" si="82"/>
        <v>#VALUE!</v>
      </c>
      <c r="J171" s="74" t="s">
        <v>81</v>
      </c>
      <c r="K171" s="158" t="e">
        <f t="shared" si="83"/>
        <v>#VALUE!</v>
      </c>
      <c r="L171" s="164">
        <v>1.08</v>
      </c>
      <c r="M171" s="73" t="s">
        <v>30</v>
      </c>
      <c r="N171" s="97">
        <v>1</v>
      </c>
      <c r="O171" s="73" t="s">
        <v>79</v>
      </c>
      <c r="P171" s="160">
        <f>IF(Istruzioni!$E$7&lt;&gt;"",CostoUnitMatPrima*Qtà,"")</f>
      </c>
      <c r="Q171" s="72" t="s">
        <v>180</v>
      </c>
      <c r="R171" s="272" t="e">
        <f>IF(Z171,P171*(-S171*Valori!$B$14/100+1)*(T171*Valori!$C$14/100+1)*(U171*Valori!$D$14/100+1)+K171,"ERRORE")</f>
        <v>#VALUE!</v>
      </c>
      <c r="S171" s="94">
        <v>3</v>
      </c>
      <c r="T171" s="98">
        <v>4</v>
      </c>
      <c r="U171" s="93">
        <v>4</v>
      </c>
      <c r="V171" s="160" t="e">
        <f>IF(Z171,R171*(1&amp;","&amp;Valori!$B$7),"ERRORE")</f>
        <v>#VALUE!</v>
      </c>
      <c r="W171" s="109">
        <f t="shared" si="84"/>
        <v>3</v>
      </c>
      <c r="X171" s="109">
        <f t="shared" si="84"/>
        <v>4</v>
      </c>
      <c r="Y171" s="109">
        <f t="shared" si="84"/>
        <v>4</v>
      </c>
      <c r="Z171" s="110" t="b">
        <f t="shared" si="85"/>
        <v>1</v>
      </c>
      <c r="AA171" s="153"/>
      <c r="AB171"/>
      <c r="AC171" s="284"/>
      <c r="CA171" s="7"/>
    </row>
    <row r="172" spans="1:79" ht="12.75">
      <c r="A172" s="97">
        <v>7</v>
      </c>
      <c r="B172" s="73" t="s">
        <v>30</v>
      </c>
      <c r="C172" s="162">
        <f t="shared" si="79"/>
      </c>
      <c r="D172" s="73" t="s">
        <v>79</v>
      </c>
      <c r="E172" s="269" t="e">
        <f t="shared" si="80"/>
        <v>#VALUE!</v>
      </c>
      <c r="F172" s="74" t="s">
        <v>80</v>
      </c>
      <c r="G172" s="272" t="e">
        <f t="shared" si="81"/>
        <v>#VALUE!</v>
      </c>
      <c r="H172" s="74" t="s">
        <v>80</v>
      </c>
      <c r="I172" s="269" t="e">
        <f t="shared" si="82"/>
        <v>#VALUE!</v>
      </c>
      <c r="J172" s="74" t="s">
        <v>81</v>
      </c>
      <c r="K172" s="158" t="e">
        <f t="shared" si="83"/>
        <v>#VALUE!</v>
      </c>
      <c r="L172" s="164">
        <v>2.04</v>
      </c>
      <c r="M172" s="73" t="s">
        <v>30</v>
      </c>
      <c r="N172" s="97">
        <v>1</v>
      </c>
      <c r="O172" s="73" t="s">
        <v>79</v>
      </c>
      <c r="P172" s="160">
        <f>IF(Istruzioni!$E$7&lt;&gt;"",CostoUnitMatPrima*Qtà,"")</f>
      </c>
      <c r="Q172" s="72" t="s">
        <v>181</v>
      </c>
      <c r="R172" s="272" t="e">
        <f>IF(Z172,P172*(-S172*Valori!$B$14/100+1)*(T172*Valori!$C$14/100+1)*(U172*Valori!$D$14/100+1)+K172,"ERRORE")</f>
        <v>#VALUE!</v>
      </c>
      <c r="S172" s="94">
        <v>3</v>
      </c>
      <c r="T172" s="98">
        <v>4</v>
      </c>
      <c r="U172" s="93">
        <v>4</v>
      </c>
      <c r="V172" s="160" t="e">
        <f>IF(Z172,R172*(1&amp;","&amp;Valori!$B$7),"ERRORE")</f>
        <v>#VALUE!</v>
      </c>
      <c r="W172" s="109">
        <f t="shared" si="84"/>
        <v>3</v>
      </c>
      <c r="X172" s="109">
        <f t="shared" si="84"/>
        <v>4</v>
      </c>
      <c r="Y172" s="109">
        <f t="shared" si="84"/>
        <v>4</v>
      </c>
      <c r="Z172" s="110" t="b">
        <f t="shared" si="85"/>
        <v>1</v>
      </c>
      <c r="AA172" s="153"/>
      <c r="AB172"/>
      <c r="AC172" s="284"/>
      <c r="CA172" s="7"/>
    </row>
    <row r="173" spans="1:79" ht="12.75">
      <c r="A173" s="97">
        <v>7</v>
      </c>
      <c r="B173" s="73" t="s">
        <v>30</v>
      </c>
      <c r="C173" s="162">
        <f t="shared" si="79"/>
      </c>
      <c r="D173" s="73" t="s">
        <v>79</v>
      </c>
      <c r="E173" s="269" t="e">
        <f t="shared" si="80"/>
        <v>#VALUE!</v>
      </c>
      <c r="F173" s="74" t="s">
        <v>80</v>
      </c>
      <c r="G173" s="272" t="e">
        <f t="shared" si="81"/>
        <v>#VALUE!</v>
      </c>
      <c r="H173" s="74" t="s">
        <v>80</v>
      </c>
      <c r="I173" s="269" t="e">
        <f t="shared" si="82"/>
        <v>#VALUE!</v>
      </c>
      <c r="J173" s="74" t="s">
        <v>81</v>
      </c>
      <c r="K173" s="158" t="e">
        <f t="shared" si="83"/>
        <v>#VALUE!</v>
      </c>
      <c r="L173" s="164">
        <v>2.54</v>
      </c>
      <c r="M173" s="73" t="s">
        <v>30</v>
      </c>
      <c r="N173" s="97">
        <v>1</v>
      </c>
      <c r="O173" s="73" t="s">
        <v>79</v>
      </c>
      <c r="P173" s="160">
        <f>IF(Istruzioni!$E$7&lt;&gt;"",CostoUnitMatPrima*Qtà,"")</f>
      </c>
      <c r="Q173" s="72" t="s">
        <v>182</v>
      </c>
      <c r="R173" s="272" t="e">
        <f>IF(Z173,P173*(-S173*Valori!$B$14/100+1)*(T173*Valori!$C$14/100+1)*(U173*Valori!$D$14/100+1)+K173,"ERRORE")</f>
        <v>#VALUE!</v>
      </c>
      <c r="S173" s="94">
        <v>3</v>
      </c>
      <c r="T173" s="98">
        <v>4</v>
      </c>
      <c r="U173" s="93">
        <v>4</v>
      </c>
      <c r="V173" s="160" t="e">
        <f>IF(Z173,R173*(1&amp;","&amp;Valori!$B$7),"ERRORE")</f>
        <v>#VALUE!</v>
      </c>
      <c r="W173" s="109">
        <f t="shared" si="84"/>
        <v>3</v>
      </c>
      <c r="X173" s="109">
        <f t="shared" si="84"/>
        <v>4</v>
      </c>
      <c r="Y173" s="109">
        <f t="shared" si="84"/>
        <v>4</v>
      </c>
      <c r="Z173" s="110" t="b">
        <f t="shared" si="85"/>
        <v>1</v>
      </c>
      <c r="AA173" s="153"/>
      <c r="AB173"/>
      <c r="AC173" s="284"/>
      <c r="CA173" s="7"/>
    </row>
    <row r="174" spans="1:79" ht="12.75">
      <c r="A174" s="97">
        <v>7</v>
      </c>
      <c r="B174" s="73" t="s">
        <v>30</v>
      </c>
      <c r="C174" s="162">
        <f t="shared" si="79"/>
      </c>
      <c r="D174" s="73" t="s">
        <v>79</v>
      </c>
      <c r="E174" s="269" t="e">
        <f t="shared" si="80"/>
        <v>#VALUE!</v>
      </c>
      <c r="F174" s="74" t="s">
        <v>80</v>
      </c>
      <c r="G174" s="272" t="e">
        <f t="shared" si="81"/>
        <v>#VALUE!</v>
      </c>
      <c r="H174" s="74" t="s">
        <v>80</v>
      </c>
      <c r="I174" s="269" t="e">
        <f t="shared" si="82"/>
        <v>#VALUE!</v>
      </c>
      <c r="J174" s="74" t="s">
        <v>81</v>
      </c>
      <c r="K174" s="158" t="e">
        <f t="shared" si="83"/>
        <v>#VALUE!</v>
      </c>
      <c r="L174" s="164">
        <v>3.39</v>
      </c>
      <c r="M174" s="73" t="s">
        <v>30</v>
      </c>
      <c r="N174" s="97">
        <v>1</v>
      </c>
      <c r="O174" s="73" t="s">
        <v>79</v>
      </c>
      <c r="P174" s="160">
        <f>IF(Istruzioni!$E$7&lt;&gt;"",CostoUnitMatPrima*Qtà,"")</f>
      </c>
      <c r="Q174" s="72" t="s">
        <v>183</v>
      </c>
      <c r="R174" s="272" t="e">
        <f>IF(Z174,P174*(-S174*Valori!$B$14/100+1)*(T174*Valori!$C$14/100+1)*(U174*Valori!$D$14/100+1)+K174,"ERRORE")</f>
        <v>#VALUE!</v>
      </c>
      <c r="S174" s="94">
        <v>3</v>
      </c>
      <c r="T174" s="98">
        <v>4</v>
      </c>
      <c r="U174" s="93">
        <v>4</v>
      </c>
      <c r="V174" s="160" t="e">
        <f>IF(Z174,R174*(1&amp;","&amp;Valori!$B$7),"ERRORE")</f>
        <v>#VALUE!</v>
      </c>
      <c r="W174" s="109">
        <f t="shared" si="84"/>
        <v>3</v>
      </c>
      <c r="X174" s="109">
        <f t="shared" si="84"/>
        <v>4</v>
      </c>
      <c r="Y174" s="109">
        <f t="shared" si="84"/>
        <v>4</v>
      </c>
      <c r="Z174" s="110" t="b">
        <f t="shared" si="85"/>
        <v>1</v>
      </c>
      <c r="AA174" s="153"/>
      <c r="AB174"/>
      <c r="AC174" s="284"/>
      <c r="CA174" s="7"/>
    </row>
    <row r="175" spans="1:79" ht="12.75">
      <c r="A175" s="97">
        <v>7</v>
      </c>
      <c r="B175" s="73" t="s">
        <v>30</v>
      </c>
      <c r="C175" s="162">
        <f t="shared" si="79"/>
      </c>
      <c r="D175" s="73" t="s">
        <v>79</v>
      </c>
      <c r="E175" s="269" t="e">
        <f t="shared" si="80"/>
        <v>#VALUE!</v>
      </c>
      <c r="F175" s="74" t="s">
        <v>80</v>
      </c>
      <c r="G175" s="272" t="e">
        <f t="shared" si="81"/>
        <v>#VALUE!</v>
      </c>
      <c r="H175" s="74" t="s">
        <v>80</v>
      </c>
      <c r="I175" s="269" t="e">
        <f t="shared" si="82"/>
        <v>#VALUE!</v>
      </c>
      <c r="J175" s="74" t="s">
        <v>81</v>
      </c>
      <c r="K175" s="158" t="e">
        <f t="shared" si="83"/>
        <v>#VALUE!</v>
      </c>
      <c r="L175" s="164">
        <v>4.65</v>
      </c>
      <c r="M175" s="73" t="s">
        <v>30</v>
      </c>
      <c r="N175" s="97">
        <v>1</v>
      </c>
      <c r="O175" s="73" t="s">
        <v>79</v>
      </c>
      <c r="P175" s="160">
        <f>IF(Istruzioni!$E$7&lt;&gt;"",CostoUnitMatPrima*Qtà,"")</f>
      </c>
      <c r="Q175" s="72" t="s">
        <v>184</v>
      </c>
      <c r="R175" s="272" t="e">
        <f>IF(Z175,P175*(-S175*Valori!$B$14/100+1)*(T175*Valori!$C$14/100+1)*(U175*Valori!$D$14/100+1)+K175,"ERRORE")</f>
        <v>#VALUE!</v>
      </c>
      <c r="S175" s="94">
        <v>3</v>
      </c>
      <c r="T175" s="98">
        <v>4</v>
      </c>
      <c r="U175" s="93">
        <v>4</v>
      </c>
      <c r="V175" s="160" t="e">
        <f>IF(Z175,R175*(1&amp;","&amp;Valori!$B$7),"ERRORE")</f>
        <v>#VALUE!</v>
      </c>
      <c r="W175" s="109">
        <f t="shared" si="84"/>
        <v>3</v>
      </c>
      <c r="X175" s="109">
        <f t="shared" si="84"/>
        <v>4</v>
      </c>
      <c r="Y175" s="109">
        <f t="shared" si="84"/>
        <v>4</v>
      </c>
      <c r="Z175" s="110" t="b">
        <f t="shared" si="85"/>
        <v>1</v>
      </c>
      <c r="AA175" s="153"/>
      <c r="AB175"/>
      <c r="AC175" s="284"/>
      <c r="CA175" s="7"/>
    </row>
    <row r="176" spans="1:79" ht="12.75">
      <c r="A176" s="97">
        <v>7</v>
      </c>
      <c r="B176" s="73" t="s">
        <v>30</v>
      </c>
      <c r="C176" s="162">
        <f t="shared" si="79"/>
      </c>
      <c r="D176" s="73" t="s">
        <v>79</v>
      </c>
      <c r="E176" s="269" t="e">
        <f t="shared" si="80"/>
        <v>#VALUE!</v>
      </c>
      <c r="F176" s="74" t="s">
        <v>80</v>
      </c>
      <c r="G176" s="272" t="e">
        <f t="shared" si="81"/>
        <v>#VALUE!</v>
      </c>
      <c r="H176" s="74" t="s">
        <v>80</v>
      </c>
      <c r="I176" s="269" t="e">
        <f t="shared" si="82"/>
        <v>#VALUE!</v>
      </c>
      <c r="J176" s="74" t="s">
        <v>81</v>
      </c>
      <c r="K176" s="158" t="e">
        <f t="shared" si="83"/>
        <v>#VALUE!</v>
      </c>
      <c r="L176" s="164">
        <v>9.59</v>
      </c>
      <c r="M176" s="73" t="s">
        <v>30</v>
      </c>
      <c r="N176" s="97">
        <v>1</v>
      </c>
      <c r="O176" s="73" t="s">
        <v>79</v>
      </c>
      <c r="P176" s="160">
        <f>IF(Istruzioni!$E$7&lt;&gt;"",CostoUnitMatPrima*Qtà,"")</f>
      </c>
      <c r="Q176" s="72" t="s">
        <v>185</v>
      </c>
      <c r="R176" s="272" t="e">
        <f>IF(Z176,P176*(-S176*Valori!$B$14/100+1)*(T176*Valori!$C$14/100+1)*(U176*Valori!$D$14/100+1)+K176,"ERRORE")</f>
        <v>#VALUE!</v>
      </c>
      <c r="S176" s="94">
        <v>3</v>
      </c>
      <c r="T176" s="98">
        <v>4</v>
      </c>
      <c r="U176" s="93">
        <v>4</v>
      </c>
      <c r="V176" s="160" t="e">
        <f>IF(Z176,R176*(1&amp;","&amp;Valori!$B$7),"ERRORE")</f>
        <v>#VALUE!</v>
      </c>
      <c r="W176" s="109">
        <f t="shared" si="84"/>
        <v>3</v>
      </c>
      <c r="X176" s="109">
        <f t="shared" si="84"/>
        <v>4</v>
      </c>
      <c r="Y176" s="109">
        <f t="shared" si="84"/>
        <v>4</v>
      </c>
      <c r="Z176" s="110" t="b">
        <f t="shared" si="85"/>
        <v>1</v>
      </c>
      <c r="AA176" s="153"/>
      <c r="AB176"/>
      <c r="AC176" s="284"/>
      <c r="CA176" s="7"/>
    </row>
    <row r="177" spans="1:79" ht="12.75">
      <c r="A177" s="97">
        <v>7</v>
      </c>
      <c r="B177" s="73" t="s">
        <v>30</v>
      </c>
      <c r="C177" s="162">
        <f t="shared" si="79"/>
      </c>
      <c r="D177" s="73" t="s">
        <v>79</v>
      </c>
      <c r="E177" s="269" t="e">
        <f t="shared" si="80"/>
        <v>#VALUE!</v>
      </c>
      <c r="F177" s="74" t="s">
        <v>80</v>
      </c>
      <c r="G177" s="272" t="e">
        <f t="shared" si="81"/>
        <v>#VALUE!</v>
      </c>
      <c r="H177" s="74" t="s">
        <v>80</v>
      </c>
      <c r="I177" s="269" t="e">
        <f t="shared" si="82"/>
        <v>#VALUE!</v>
      </c>
      <c r="J177" s="74" t="s">
        <v>81</v>
      </c>
      <c r="K177" s="158" t="e">
        <f t="shared" si="83"/>
        <v>#VALUE!</v>
      </c>
      <c r="L177" s="164">
        <v>13.74</v>
      </c>
      <c r="M177" s="73" t="s">
        <v>30</v>
      </c>
      <c r="N177" s="97">
        <v>1</v>
      </c>
      <c r="O177" s="73" t="s">
        <v>79</v>
      </c>
      <c r="P177" s="160">
        <f>IF(Istruzioni!$E$7&lt;&gt;"",CostoUnitMatPrima*Qtà,"")</f>
      </c>
      <c r="Q177" s="72" t="s">
        <v>186</v>
      </c>
      <c r="R177" s="272" t="e">
        <f>IF(Z177,P177*(-S177*Valori!$B$14/100+1)*(T177*Valori!$C$14/100+1)*(U177*Valori!$D$14/100+1)+K177,"ERRORE")</f>
        <v>#VALUE!</v>
      </c>
      <c r="S177" s="94">
        <v>3</v>
      </c>
      <c r="T177" s="98">
        <v>4</v>
      </c>
      <c r="U177" s="93">
        <v>4</v>
      </c>
      <c r="V177" s="160" t="e">
        <f>IF(Z177,R177*(1&amp;","&amp;Valori!$B$7),"ERRORE")</f>
        <v>#VALUE!</v>
      </c>
      <c r="W177" s="109">
        <f t="shared" si="84"/>
        <v>3</v>
      </c>
      <c r="X177" s="109">
        <f t="shared" si="84"/>
        <v>4</v>
      </c>
      <c r="Y177" s="109">
        <f t="shared" si="84"/>
        <v>4</v>
      </c>
      <c r="Z177" s="110" t="b">
        <f t="shared" si="85"/>
        <v>1</v>
      </c>
      <c r="AA177" s="153"/>
      <c r="AB177"/>
      <c r="AC177" s="284"/>
      <c r="CA177" s="7"/>
    </row>
    <row r="178" spans="1:79" s="51" customFormat="1" ht="12.75">
      <c r="A178" s="117"/>
      <c r="B178" s="30"/>
      <c r="C178" s="36"/>
      <c r="D178" s="30"/>
      <c r="E178" s="271"/>
      <c r="F178" s="35"/>
      <c r="G178" s="271"/>
      <c r="H178" s="35"/>
      <c r="I178" s="271"/>
      <c r="J178" s="35"/>
      <c r="K178" s="11"/>
      <c r="L178" s="19"/>
      <c r="M178" s="30"/>
      <c r="N178" s="28"/>
      <c r="O178" s="30"/>
      <c r="P178" s="11"/>
      <c r="Q178" s="17" t="s">
        <v>187</v>
      </c>
      <c r="R178" s="271"/>
      <c r="S178" s="22"/>
      <c r="T178" s="22"/>
      <c r="U178" s="22"/>
      <c r="V178" s="150">
        <f>IF(Istruzioni!$E$7&lt;&gt;"",Istruzioni!$G$12,"")</f>
      </c>
      <c r="W178" s="109"/>
      <c r="X178" s="109"/>
      <c r="Y178" s="109"/>
      <c r="Z178" s="109"/>
      <c r="AA178" s="150"/>
      <c r="AB178"/>
      <c r="AC178" s="284"/>
      <c r="AD178" s="286"/>
      <c r="AG178" s="50"/>
      <c r="AH178" s="50"/>
      <c r="AI178" s="50"/>
      <c r="CA178" s="11"/>
    </row>
    <row r="179" spans="1:79" ht="12.75">
      <c r="A179" s="97">
        <v>5</v>
      </c>
      <c r="B179" s="73" t="s">
        <v>30</v>
      </c>
      <c r="C179" s="162">
        <f aca="true" t="shared" si="86" ref="C179:C185">CostoMinuto</f>
      </c>
      <c r="D179" s="73" t="s">
        <v>79</v>
      </c>
      <c r="E179" s="269" t="e">
        <f aca="true" t="shared" si="87" ref="E179:E185">MinutiLavoro*CostoMinuto</f>
        <v>#VALUE!</v>
      </c>
      <c r="F179" s="74" t="s">
        <v>80</v>
      </c>
      <c r="G179" s="272" t="e">
        <f>Costi_Variabili/Min_Lavoro_Anno*A179</f>
        <v>#VALUE!</v>
      </c>
      <c r="H179" s="74" t="s">
        <v>80</v>
      </c>
      <c r="I179" s="269" t="e">
        <f aca="true" t="shared" si="88" ref="I179:I185">Costi_Fissi/Min_Lavoro_Anno*A179</f>
        <v>#VALUE!</v>
      </c>
      <c r="J179" s="74" t="s">
        <v>81</v>
      </c>
      <c r="K179" s="158" t="e">
        <f aca="true" t="shared" si="89" ref="K179:K185">SUM(E179+G179+I179)</f>
        <v>#VALUE!</v>
      </c>
      <c r="L179" s="164">
        <v>1.08</v>
      </c>
      <c r="M179" s="73" t="s">
        <v>30</v>
      </c>
      <c r="N179" s="97">
        <v>1</v>
      </c>
      <c r="O179" s="73" t="s">
        <v>79</v>
      </c>
      <c r="P179" s="160">
        <f>IF(Istruzioni!$E$7&lt;&gt;"",CostoUnitMatPrima*Qtà,"")</f>
      </c>
      <c r="Q179" s="72" t="s">
        <v>188</v>
      </c>
      <c r="R179" s="272" t="e">
        <f>IF(Z179,P179*(-S179*Valori!$B$14/100+1)*(T179*Valori!$C$14/100+1)*(U179*Valori!$D$14/100+1)+K179,"ERRORE")</f>
        <v>#VALUE!</v>
      </c>
      <c r="S179" s="94">
        <v>2</v>
      </c>
      <c r="T179" s="98">
        <v>3</v>
      </c>
      <c r="U179" s="93">
        <v>4</v>
      </c>
      <c r="V179" s="160" t="e">
        <f>IF(Z179,R179*(1&amp;","&amp;Valori!$B$7),"ERRORE")</f>
        <v>#VALUE!</v>
      </c>
      <c r="W179" s="109">
        <f t="shared" si="84"/>
        <v>2</v>
      </c>
      <c r="X179" s="109">
        <f t="shared" si="84"/>
        <v>3</v>
      </c>
      <c r="Y179" s="109">
        <f t="shared" si="84"/>
        <v>4</v>
      </c>
      <c r="Z179" s="110" t="b">
        <f aca="true" t="shared" si="90" ref="Z179:Z185">ISNUMBER(W179+X179+Y179)</f>
        <v>1</v>
      </c>
      <c r="AA179" s="152"/>
      <c r="AB179"/>
      <c r="AC179" s="284"/>
      <c r="CA179" s="7"/>
    </row>
    <row r="180" spans="1:79" ht="12.75">
      <c r="A180" s="97">
        <v>5</v>
      </c>
      <c r="B180" s="73" t="s">
        <v>30</v>
      </c>
      <c r="C180" s="162">
        <f t="shared" si="86"/>
      </c>
      <c r="D180" s="73" t="s">
        <v>79</v>
      </c>
      <c r="E180" s="269" t="e">
        <f t="shared" si="87"/>
        <v>#VALUE!</v>
      </c>
      <c r="F180" s="74" t="s">
        <v>80</v>
      </c>
      <c r="G180" s="272" t="e">
        <f aca="true" t="shared" si="91" ref="G180:G185">Costi_Variabili/Min_Lavoro_Anno*A180</f>
        <v>#VALUE!</v>
      </c>
      <c r="H180" s="74" t="s">
        <v>80</v>
      </c>
      <c r="I180" s="269" t="e">
        <f t="shared" si="88"/>
        <v>#VALUE!</v>
      </c>
      <c r="J180" s="74" t="s">
        <v>81</v>
      </c>
      <c r="K180" s="158" t="e">
        <f t="shared" si="89"/>
        <v>#VALUE!</v>
      </c>
      <c r="L180" s="164">
        <v>1.99</v>
      </c>
      <c r="M180" s="73" t="s">
        <v>30</v>
      </c>
      <c r="N180" s="97">
        <v>1</v>
      </c>
      <c r="O180" s="73" t="s">
        <v>79</v>
      </c>
      <c r="P180" s="160">
        <f>IF(Istruzioni!$E$7&lt;&gt;"",CostoUnitMatPrima*Qtà,"")</f>
      </c>
      <c r="Q180" s="72" t="s">
        <v>189</v>
      </c>
      <c r="R180" s="272" t="e">
        <f>IF(Z180,P180*(-S180*Valori!$B$14/100+1)*(T180*Valori!$C$14/100+1)*(U180*Valori!$D$14/100+1)+K180,"ERRORE")</f>
        <v>#VALUE!</v>
      </c>
      <c r="S180" s="94">
        <v>2</v>
      </c>
      <c r="T180" s="98">
        <v>3</v>
      </c>
      <c r="U180" s="93">
        <v>4</v>
      </c>
      <c r="V180" s="160" t="e">
        <f>IF(Z180,R180*(1&amp;","&amp;Valori!$B$7),"ERRORE")</f>
        <v>#VALUE!</v>
      </c>
      <c r="W180" s="109">
        <f t="shared" si="84"/>
        <v>2</v>
      </c>
      <c r="X180" s="109">
        <f t="shared" si="84"/>
        <v>3</v>
      </c>
      <c r="Y180" s="109">
        <f t="shared" si="84"/>
        <v>4</v>
      </c>
      <c r="Z180" s="110" t="b">
        <f t="shared" si="90"/>
        <v>1</v>
      </c>
      <c r="AA180" s="153"/>
      <c r="AB180"/>
      <c r="AC180" s="284"/>
      <c r="CA180" s="7"/>
    </row>
    <row r="181" spans="1:79" ht="12.75">
      <c r="A181" s="97">
        <v>5</v>
      </c>
      <c r="B181" s="73" t="s">
        <v>30</v>
      </c>
      <c r="C181" s="162">
        <f t="shared" si="86"/>
      </c>
      <c r="D181" s="73" t="s">
        <v>79</v>
      </c>
      <c r="E181" s="269" t="e">
        <f t="shared" si="87"/>
        <v>#VALUE!</v>
      </c>
      <c r="F181" s="74" t="s">
        <v>80</v>
      </c>
      <c r="G181" s="272" t="e">
        <f t="shared" si="91"/>
        <v>#VALUE!</v>
      </c>
      <c r="H181" s="74" t="s">
        <v>80</v>
      </c>
      <c r="I181" s="269" t="e">
        <f t="shared" si="88"/>
        <v>#VALUE!</v>
      </c>
      <c r="J181" s="74" t="s">
        <v>81</v>
      </c>
      <c r="K181" s="158" t="e">
        <f t="shared" si="89"/>
        <v>#VALUE!</v>
      </c>
      <c r="L181" s="164">
        <v>2.54</v>
      </c>
      <c r="M181" s="73" t="s">
        <v>30</v>
      </c>
      <c r="N181" s="97">
        <v>1</v>
      </c>
      <c r="O181" s="73" t="s">
        <v>79</v>
      </c>
      <c r="P181" s="160">
        <f>IF(Istruzioni!$E$7&lt;&gt;"",CostoUnitMatPrima*Qtà,"")</f>
      </c>
      <c r="Q181" s="72" t="s">
        <v>190</v>
      </c>
      <c r="R181" s="272" t="e">
        <f>IF(Z181,P181*(-S181*Valori!$B$14/100+1)*(T181*Valori!$C$14/100+1)*(U181*Valori!$D$14/100+1)+K181,"ERRORE")</f>
        <v>#VALUE!</v>
      </c>
      <c r="S181" s="94">
        <v>2</v>
      </c>
      <c r="T181" s="98">
        <v>3</v>
      </c>
      <c r="U181" s="93">
        <v>4</v>
      </c>
      <c r="V181" s="160" t="e">
        <f>IF(Z181,R181*(1&amp;","&amp;Valori!$B$7),"ERRORE")</f>
        <v>#VALUE!</v>
      </c>
      <c r="W181" s="109">
        <f t="shared" si="84"/>
        <v>2</v>
      </c>
      <c r="X181" s="109">
        <f t="shared" si="84"/>
        <v>3</v>
      </c>
      <c r="Y181" s="109">
        <f t="shared" si="84"/>
        <v>4</v>
      </c>
      <c r="Z181" s="110" t="b">
        <f t="shared" si="90"/>
        <v>1</v>
      </c>
      <c r="AA181" s="153"/>
      <c r="AB181"/>
      <c r="AC181" s="284"/>
      <c r="CA181" s="7"/>
    </row>
    <row r="182" spans="1:79" ht="12.75">
      <c r="A182" s="97">
        <v>5</v>
      </c>
      <c r="B182" s="73" t="s">
        <v>30</v>
      </c>
      <c r="C182" s="162">
        <f t="shared" si="86"/>
      </c>
      <c r="D182" s="73" t="s">
        <v>79</v>
      </c>
      <c r="E182" s="269" t="e">
        <f t="shared" si="87"/>
        <v>#VALUE!</v>
      </c>
      <c r="F182" s="74" t="s">
        <v>80</v>
      </c>
      <c r="G182" s="272" t="e">
        <f t="shared" si="91"/>
        <v>#VALUE!</v>
      </c>
      <c r="H182" s="74" t="s">
        <v>80</v>
      </c>
      <c r="I182" s="269" t="e">
        <f t="shared" si="88"/>
        <v>#VALUE!</v>
      </c>
      <c r="J182" s="74" t="s">
        <v>81</v>
      </c>
      <c r="K182" s="158" t="e">
        <f t="shared" si="89"/>
        <v>#VALUE!</v>
      </c>
      <c r="L182" s="164">
        <v>3.39</v>
      </c>
      <c r="M182" s="73" t="s">
        <v>30</v>
      </c>
      <c r="N182" s="97">
        <v>1</v>
      </c>
      <c r="O182" s="73" t="s">
        <v>79</v>
      </c>
      <c r="P182" s="160">
        <f>IF(Istruzioni!$E$7&lt;&gt;"",CostoUnitMatPrima*Qtà,"")</f>
      </c>
      <c r="Q182" s="72" t="s">
        <v>191</v>
      </c>
      <c r="R182" s="272" t="e">
        <f>IF(Z182,P182*(-S182*Valori!$B$14/100+1)*(T182*Valori!$C$14/100+1)*(U182*Valori!$D$14/100+1)+K182,"ERRORE")</f>
        <v>#VALUE!</v>
      </c>
      <c r="S182" s="94">
        <v>2</v>
      </c>
      <c r="T182" s="98">
        <v>3</v>
      </c>
      <c r="U182" s="93">
        <v>4</v>
      </c>
      <c r="V182" s="160" t="e">
        <f>IF(Z182,R182*(1&amp;","&amp;Valori!$B$7),"ERRORE")</f>
        <v>#VALUE!</v>
      </c>
      <c r="W182" s="109">
        <f t="shared" si="84"/>
        <v>2</v>
      </c>
      <c r="X182" s="109">
        <f t="shared" si="84"/>
        <v>3</v>
      </c>
      <c r="Y182" s="109">
        <f t="shared" si="84"/>
        <v>4</v>
      </c>
      <c r="Z182" s="110" t="b">
        <f t="shared" si="90"/>
        <v>1</v>
      </c>
      <c r="AA182" s="153"/>
      <c r="AB182"/>
      <c r="AC182" s="284"/>
      <c r="CA182" s="7"/>
    </row>
    <row r="183" spans="1:79" ht="12.75">
      <c r="A183" s="97">
        <v>5</v>
      </c>
      <c r="B183" s="73" t="s">
        <v>30</v>
      </c>
      <c r="C183" s="162">
        <f t="shared" si="86"/>
      </c>
      <c r="D183" s="73" t="s">
        <v>79</v>
      </c>
      <c r="E183" s="269" t="e">
        <f t="shared" si="87"/>
        <v>#VALUE!</v>
      </c>
      <c r="F183" s="74" t="s">
        <v>80</v>
      </c>
      <c r="G183" s="272" t="e">
        <f t="shared" si="91"/>
        <v>#VALUE!</v>
      </c>
      <c r="H183" s="74" t="s">
        <v>80</v>
      </c>
      <c r="I183" s="269" t="e">
        <f t="shared" si="88"/>
        <v>#VALUE!</v>
      </c>
      <c r="J183" s="74" t="s">
        <v>81</v>
      </c>
      <c r="K183" s="158" t="e">
        <f t="shared" si="89"/>
        <v>#VALUE!</v>
      </c>
      <c r="L183" s="164">
        <v>4.65</v>
      </c>
      <c r="M183" s="73" t="s">
        <v>30</v>
      </c>
      <c r="N183" s="97">
        <v>1</v>
      </c>
      <c r="O183" s="73" t="s">
        <v>79</v>
      </c>
      <c r="P183" s="160">
        <f>IF(Istruzioni!$E$7&lt;&gt;"",CostoUnitMatPrima*Qtà,"")</f>
      </c>
      <c r="Q183" s="72" t="s">
        <v>192</v>
      </c>
      <c r="R183" s="272" t="e">
        <f>IF(Z183,P183*(-S183*Valori!$B$14/100+1)*(T183*Valori!$C$14/100+1)*(U183*Valori!$D$14/100+1)+K183,"ERRORE")</f>
        <v>#VALUE!</v>
      </c>
      <c r="S183" s="94">
        <v>2</v>
      </c>
      <c r="T183" s="98">
        <v>3</v>
      </c>
      <c r="U183" s="93">
        <v>4</v>
      </c>
      <c r="V183" s="160" t="e">
        <f>IF(Z183,R183*(1&amp;","&amp;Valori!$B$7),"ERRORE")</f>
        <v>#VALUE!</v>
      </c>
      <c r="W183" s="109">
        <f aca="true" t="shared" si="92" ref="W183:Y192">IF(S183&lt;=0,"errore",IF(S183&gt;5,"errore",S183))</f>
        <v>2</v>
      </c>
      <c r="X183" s="109">
        <f t="shared" si="92"/>
        <v>3</v>
      </c>
      <c r="Y183" s="109">
        <f t="shared" si="92"/>
        <v>4</v>
      </c>
      <c r="Z183" s="110" t="b">
        <f t="shared" si="90"/>
        <v>1</v>
      </c>
      <c r="AA183" s="153"/>
      <c r="AB183"/>
      <c r="AC183" s="284"/>
      <c r="CA183" s="7"/>
    </row>
    <row r="184" spans="1:79" ht="12.75">
      <c r="A184" s="97">
        <v>5</v>
      </c>
      <c r="B184" s="73" t="s">
        <v>30</v>
      </c>
      <c r="C184" s="162">
        <f t="shared" si="86"/>
      </c>
      <c r="D184" s="73" t="s">
        <v>79</v>
      </c>
      <c r="E184" s="269" t="e">
        <f t="shared" si="87"/>
        <v>#VALUE!</v>
      </c>
      <c r="F184" s="74" t="s">
        <v>80</v>
      </c>
      <c r="G184" s="272" t="e">
        <f t="shared" si="91"/>
        <v>#VALUE!</v>
      </c>
      <c r="H184" s="74" t="s">
        <v>80</v>
      </c>
      <c r="I184" s="269" t="e">
        <f t="shared" si="88"/>
        <v>#VALUE!</v>
      </c>
      <c r="J184" s="74" t="s">
        <v>81</v>
      </c>
      <c r="K184" s="158" t="e">
        <f t="shared" si="89"/>
        <v>#VALUE!</v>
      </c>
      <c r="L184" s="164">
        <v>9.59</v>
      </c>
      <c r="M184" s="73" t="s">
        <v>30</v>
      </c>
      <c r="N184" s="97">
        <v>1</v>
      </c>
      <c r="O184" s="73" t="s">
        <v>79</v>
      </c>
      <c r="P184" s="160">
        <f>IF(Istruzioni!$E$7&lt;&gt;"",CostoUnitMatPrima*Qtà,"")</f>
      </c>
      <c r="Q184" s="72" t="s">
        <v>193</v>
      </c>
      <c r="R184" s="272" t="e">
        <f>IF(Z184,P184*(-S184*Valori!$B$14/100+1)*(T184*Valori!$C$14/100+1)*(U184*Valori!$D$14/100+1)+K184,"ERRORE")</f>
        <v>#VALUE!</v>
      </c>
      <c r="S184" s="94">
        <v>2</v>
      </c>
      <c r="T184" s="98">
        <v>3</v>
      </c>
      <c r="U184" s="93">
        <v>4</v>
      </c>
      <c r="V184" s="160" t="e">
        <f>IF(Z184,R184*(1&amp;","&amp;Valori!$B$7),"ERRORE")</f>
        <v>#VALUE!</v>
      </c>
      <c r="W184" s="109">
        <f t="shared" si="92"/>
        <v>2</v>
      </c>
      <c r="X184" s="109">
        <f t="shared" si="92"/>
        <v>3</v>
      </c>
      <c r="Y184" s="109">
        <f t="shared" si="92"/>
        <v>4</v>
      </c>
      <c r="Z184" s="110" t="b">
        <f t="shared" si="90"/>
        <v>1</v>
      </c>
      <c r="AA184" s="153"/>
      <c r="AB184"/>
      <c r="AC184" s="284"/>
      <c r="CA184" s="7"/>
    </row>
    <row r="185" spans="1:79" ht="12.75">
      <c r="A185" s="97">
        <v>5</v>
      </c>
      <c r="B185" s="73" t="s">
        <v>30</v>
      </c>
      <c r="C185" s="162">
        <f t="shared" si="86"/>
      </c>
      <c r="D185" s="73" t="s">
        <v>79</v>
      </c>
      <c r="E185" s="269" t="e">
        <f t="shared" si="87"/>
        <v>#VALUE!</v>
      </c>
      <c r="F185" s="74" t="s">
        <v>80</v>
      </c>
      <c r="G185" s="272" t="e">
        <f t="shared" si="91"/>
        <v>#VALUE!</v>
      </c>
      <c r="H185" s="74" t="s">
        <v>80</v>
      </c>
      <c r="I185" s="269" t="e">
        <f t="shared" si="88"/>
        <v>#VALUE!</v>
      </c>
      <c r="J185" s="74" t="s">
        <v>81</v>
      </c>
      <c r="K185" s="158" t="e">
        <f t="shared" si="89"/>
        <v>#VALUE!</v>
      </c>
      <c r="L185" s="164">
        <v>13.74</v>
      </c>
      <c r="M185" s="73" t="s">
        <v>30</v>
      </c>
      <c r="N185" s="97">
        <v>1</v>
      </c>
      <c r="O185" s="73" t="s">
        <v>79</v>
      </c>
      <c r="P185" s="160">
        <f>IF(Istruzioni!$E$7&lt;&gt;"",CostoUnitMatPrima*Qtà,"")</f>
      </c>
      <c r="Q185" s="72" t="s">
        <v>101</v>
      </c>
      <c r="R185" s="272" t="e">
        <f>IF(Z185,P185*(-S185*Valori!$B$14/100+1)*(T185*Valori!$C$14/100+1)*(U185*Valori!$D$14/100+1)+K185,"ERRORE")</f>
        <v>#VALUE!</v>
      </c>
      <c r="S185" s="94">
        <v>2</v>
      </c>
      <c r="T185" s="98">
        <v>3</v>
      </c>
      <c r="U185" s="93">
        <v>4</v>
      </c>
      <c r="V185" s="160" t="e">
        <f>IF(Z185,R185*(1&amp;","&amp;Valori!$B$7),"ERRORE")</f>
        <v>#VALUE!</v>
      </c>
      <c r="W185" s="109">
        <f t="shared" si="92"/>
        <v>2</v>
      </c>
      <c r="X185" s="109">
        <f t="shared" si="92"/>
        <v>3</v>
      </c>
      <c r="Y185" s="109">
        <f t="shared" si="92"/>
        <v>4</v>
      </c>
      <c r="Z185" s="110" t="b">
        <f t="shared" si="90"/>
        <v>1</v>
      </c>
      <c r="AA185" s="153"/>
      <c r="AB185"/>
      <c r="AC185" s="284"/>
      <c r="CA185" s="7"/>
    </row>
    <row r="186" spans="1:79" s="51" customFormat="1" ht="12.75">
      <c r="A186" s="117"/>
      <c r="B186" s="30"/>
      <c r="C186" s="36"/>
      <c r="D186" s="30"/>
      <c r="E186" s="271"/>
      <c r="F186" s="35"/>
      <c r="G186" s="271"/>
      <c r="H186" s="35"/>
      <c r="I186" s="271"/>
      <c r="J186" s="35"/>
      <c r="K186" s="11"/>
      <c r="L186" s="20"/>
      <c r="M186" s="30"/>
      <c r="N186" s="21"/>
      <c r="O186" s="30"/>
      <c r="P186" s="11"/>
      <c r="Q186" s="17" t="s">
        <v>102</v>
      </c>
      <c r="R186" s="271"/>
      <c r="S186" s="22"/>
      <c r="T186" s="22"/>
      <c r="U186" s="22"/>
      <c r="V186" s="150">
        <f>IF(Istruzioni!$E$7&lt;&gt;"",Istruzioni!$G$12,"")</f>
      </c>
      <c r="W186" s="109"/>
      <c r="X186" s="109"/>
      <c r="Y186" s="109"/>
      <c r="Z186" s="109"/>
      <c r="AA186" s="150"/>
      <c r="AB186"/>
      <c r="AC186" s="284"/>
      <c r="AD186" s="286"/>
      <c r="AG186" s="50"/>
      <c r="AH186" s="50"/>
      <c r="AI186" s="50"/>
      <c r="CA186" s="11"/>
    </row>
    <row r="187" spans="1:79" ht="12.75">
      <c r="A187" s="97">
        <v>180</v>
      </c>
      <c r="B187" s="73" t="s">
        <v>30</v>
      </c>
      <c r="C187" s="159">
        <f aca="true" t="shared" si="93" ref="C187:C192">CostoMinuto</f>
      </c>
      <c r="D187" s="73" t="s">
        <v>79</v>
      </c>
      <c r="E187" s="269" t="e">
        <f aca="true" t="shared" si="94" ref="E187:E192">MinutiLavoro*CostoMinuto</f>
        <v>#VALUE!</v>
      </c>
      <c r="F187" s="74" t="s">
        <v>80</v>
      </c>
      <c r="G187" s="272" t="e">
        <f aca="true" t="shared" si="95" ref="G187:G192">Costi_Variabili/Min_Lavoro_Anno*A187</f>
        <v>#VALUE!</v>
      </c>
      <c r="H187" s="74" t="s">
        <v>80</v>
      </c>
      <c r="I187" s="269" t="e">
        <f aca="true" t="shared" si="96" ref="I187:I192">Costi_Fissi/Min_Lavoro_Anno*A187</f>
        <v>#VALUE!</v>
      </c>
      <c r="J187" s="74" t="s">
        <v>81</v>
      </c>
      <c r="K187" s="158" t="e">
        <f aca="true" t="shared" si="97" ref="K187:K192">SUM(E187+G187+I187)</f>
        <v>#VALUE!</v>
      </c>
      <c r="L187" s="164">
        <v>36.15</v>
      </c>
      <c r="M187" s="73" t="s">
        <v>30</v>
      </c>
      <c r="N187" s="97">
        <v>1</v>
      </c>
      <c r="O187" s="73" t="s">
        <v>79</v>
      </c>
      <c r="P187" s="160">
        <f>IF(Istruzioni!$E$7&lt;&gt;"",CostoUnitMatPrima*Qtà,"")</f>
      </c>
      <c r="Q187" s="72" t="s">
        <v>103</v>
      </c>
      <c r="R187" s="272" t="e">
        <f>IF(Z187,P187*(-S187*Valori!$B$14/100+1)*(T187*Valori!$C$14/100+1)*(U187*Valori!$D$14/100+1)+K187,"ERRORE")</f>
        <v>#VALUE!</v>
      </c>
      <c r="S187" s="94">
        <v>1</v>
      </c>
      <c r="T187" s="98">
        <v>3</v>
      </c>
      <c r="U187" s="93">
        <v>3</v>
      </c>
      <c r="V187" s="160" t="e">
        <f>IF(Z187,R187*(1&amp;","&amp;Valori!$B$7),"ERRORE")</f>
        <v>#VALUE!</v>
      </c>
      <c r="W187" s="109">
        <f t="shared" si="92"/>
        <v>1</v>
      </c>
      <c r="X187" s="109">
        <f t="shared" si="92"/>
        <v>3</v>
      </c>
      <c r="Y187" s="109">
        <f t="shared" si="92"/>
        <v>3</v>
      </c>
      <c r="Z187" s="110" t="b">
        <f aca="true" t="shared" si="98" ref="Z187:Z192">ISNUMBER(W187+X187+Y187)</f>
        <v>1</v>
      </c>
      <c r="AA187" s="152"/>
      <c r="AB187"/>
      <c r="AC187" s="284"/>
      <c r="CA187" s="7"/>
    </row>
    <row r="188" spans="1:79" ht="12.75">
      <c r="A188" s="97">
        <v>180</v>
      </c>
      <c r="B188" s="73" t="s">
        <v>30</v>
      </c>
      <c r="C188" s="159">
        <f t="shared" si="93"/>
      </c>
      <c r="D188" s="73" t="s">
        <v>79</v>
      </c>
      <c r="E188" s="269" t="e">
        <f t="shared" si="94"/>
        <v>#VALUE!</v>
      </c>
      <c r="F188" s="74" t="s">
        <v>80</v>
      </c>
      <c r="G188" s="272" t="e">
        <f t="shared" si="95"/>
        <v>#VALUE!</v>
      </c>
      <c r="H188" s="74" t="s">
        <v>80</v>
      </c>
      <c r="I188" s="269" t="e">
        <f t="shared" si="96"/>
        <v>#VALUE!</v>
      </c>
      <c r="J188" s="74" t="s">
        <v>81</v>
      </c>
      <c r="K188" s="158" t="e">
        <f t="shared" si="97"/>
        <v>#VALUE!</v>
      </c>
      <c r="L188" s="164">
        <v>46.48</v>
      </c>
      <c r="M188" s="73" t="s">
        <v>30</v>
      </c>
      <c r="N188" s="97">
        <v>1</v>
      </c>
      <c r="O188" s="73" t="s">
        <v>79</v>
      </c>
      <c r="P188" s="160">
        <f>IF(Istruzioni!$E$7&lt;&gt;"",CostoUnitMatPrima*Qtà,"")</f>
      </c>
      <c r="Q188" s="72" t="s">
        <v>104</v>
      </c>
      <c r="R188" s="272" t="e">
        <f>IF(Z188,P188*(-S188*Valori!$B$14/100+1)*(T188*Valori!$C$14/100+1)*(U188*Valori!$D$14/100+1)+K188,"ERRORE")</f>
        <v>#VALUE!</v>
      </c>
      <c r="S188" s="94">
        <v>3</v>
      </c>
      <c r="T188" s="98">
        <v>3</v>
      </c>
      <c r="U188" s="93">
        <v>3</v>
      </c>
      <c r="V188" s="160" t="e">
        <f>IF(Z188,R188*(1&amp;","&amp;Valori!$B$7),"ERRORE")</f>
        <v>#VALUE!</v>
      </c>
      <c r="W188" s="109">
        <f t="shared" si="92"/>
        <v>3</v>
      </c>
      <c r="X188" s="109">
        <f t="shared" si="92"/>
        <v>3</v>
      </c>
      <c r="Y188" s="109">
        <f t="shared" si="92"/>
        <v>3</v>
      </c>
      <c r="Z188" s="110" t="b">
        <f t="shared" si="98"/>
        <v>1</v>
      </c>
      <c r="AA188" s="153"/>
      <c r="AB188"/>
      <c r="AC188" s="284"/>
      <c r="CA188" s="7"/>
    </row>
    <row r="189" spans="1:79" ht="12.75">
      <c r="A189" s="97">
        <v>180</v>
      </c>
      <c r="B189" s="73" t="s">
        <v>30</v>
      </c>
      <c r="C189" s="159">
        <f t="shared" si="93"/>
      </c>
      <c r="D189" s="73" t="s">
        <v>79</v>
      </c>
      <c r="E189" s="269" t="e">
        <f t="shared" si="94"/>
        <v>#VALUE!</v>
      </c>
      <c r="F189" s="74" t="s">
        <v>80</v>
      </c>
      <c r="G189" s="272" t="e">
        <f t="shared" si="95"/>
        <v>#VALUE!</v>
      </c>
      <c r="H189" s="74" t="s">
        <v>80</v>
      </c>
      <c r="I189" s="269" t="e">
        <f t="shared" si="96"/>
        <v>#VALUE!</v>
      </c>
      <c r="J189" s="74" t="s">
        <v>81</v>
      </c>
      <c r="K189" s="158" t="e">
        <f t="shared" si="97"/>
        <v>#VALUE!</v>
      </c>
      <c r="L189" s="164">
        <v>56.81</v>
      </c>
      <c r="M189" s="73" t="s">
        <v>30</v>
      </c>
      <c r="N189" s="97">
        <v>1</v>
      </c>
      <c r="O189" s="73" t="s">
        <v>79</v>
      </c>
      <c r="P189" s="160">
        <f>IF(Istruzioni!$E$7&lt;&gt;"",CostoUnitMatPrima*Qtà,"")</f>
      </c>
      <c r="Q189" s="72" t="s">
        <v>105</v>
      </c>
      <c r="R189" s="272" t="e">
        <f>IF(Z189,P189*(-S189*Valori!$B$14/100+1)*(T189*Valori!$C$14/100+1)*(U189*Valori!$D$14/100+1)+K189,"ERRORE")</f>
        <v>#VALUE!</v>
      </c>
      <c r="S189" s="94">
        <v>3</v>
      </c>
      <c r="T189" s="98">
        <v>3</v>
      </c>
      <c r="U189" s="93">
        <v>3</v>
      </c>
      <c r="V189" s="160" t="e">
        <f>IF(Z189,R189*(1&amp;","&amp;Valori!$B$7),"ERRORE")</f>
        <v>#VALUE!</v>
      </c>
      <c r="W189" s="109">
        <f t="shared" si="92"/>
        <v>3</v>
      </c>
      <c r="X189" s="109">
        <f t="shared" si="92"/>
        <v>3</v>
      </c>
      <c r="Y189" s="109">
        <f t="shared" si="92"/>
        <v>3</v>
      </c>
      <c r="Z189" s="110" t="b">
        <f t="shared" si="98"/>
        <v>1</v>
      </c>
      <c r="AA189" s="153"/>
      <c r="AB189"/>
      <c r="AC189" s="284"/>
      <c r="CA189" s="7"/>
    </row>
    <row r="190" spans="1:79" ht="12.75">
      <c r="A190" s="97">
        <v>180</v>
      </c>
      <c r="B190" s="73" t="s">
        <v>30</v>
      </c>
      <c r="C190" s="159">
        <f t="shared" si="93"/>
      </c>
      <c r="D190" s="73" t="s">
        <v>79</v>
      </c>
      <c r="E190" s="269" t="e">
        <f t="shared" si="94"/>
        <v>#VALUE!</v>
      </c>
      <c r="F190" s="74" t="s">
        <v>80</v>
      </c>
      <c r="G190" s="272" t="e">
        <f t="shared" si="95"/>
        <v>#VALUE!</v>
      </c>
      <c r="H190" s="74" t="s">
        <v>80</v>
      </c>
      <c r="I190" s="269" t="e">
        <f t="shared" si="96"/>
        <v>#VALUE!</v>
      </c>
      <c r="J190" s="74" t="s">
        <v>81</v>
      </c>
      <c r="K190" s="158" t="e">
        <f t="shared" si="97"/>
        <v>#VALUE!</v>
      </c>
      <c r="L190" s="164">
        <v>67.14</v>
      </c>
      <c r="M190" s="73" t="s">
        <v>30</v>
      </c>
      <c r="N190" s="97">
        <v>1</v>
      </c>
      <c r="O190" s="73" t="s">
        <v>79</v>
      </c>
      <c r="P190" s="160">
        <f>IF(Istruzioni!$E$7&lt;&gt;"",CostoUnitMatPrima*Qtà,"")</f>
      </c>
      <c r="Q190" s="72" t="s">
        <v>157</v>
      </c>
      <c r="R190" s="272" t="e">
        <f>IF(Z190,P190*(-S190*Valori!$B$14/100+1)*(T190*Valori!$C$14/100+1)*(U190*Valori!$D$14/100+1)+K190,"ERRORE")</f>
        <v>#VALUE!</v>
      </c>
      <c r="S190" s="94">
        <v>3</v>
      </c>
      <c r="T190" s="98">
        <v>3</v>
      </c>
      <c r="U190" s="93">
        <v>3</v>
      </c>
      <c r="V190" s="160" t="e">
        <f>IF(Z190,R190*(1&amp;","&amp;Valori!$B$7),"ERRORE")</f>
        <v>#VALUE!</v>
      </c>
      <c r="W190" s="109">
        <f t="shared" si="92"/>
        <v>3</v>
      </c>
      <c r="X190" s="109">
        <f t="shared" si="92"/>
        <v>3</v>
      </c>
      <c r="Y190" s="109">
        <f t="shared" si="92"/>
        <v>3</v>
      </c>
      <c r="Z190" s="110" t="b">
        <f t="shared" si="98"/>
        <v>1</v>
      </c>
      <c r="AA190" s="153"/>
      <c r="AB190"/>
      <c r="AC190" s="284"/>
      <c r="CA190" s="7"/>
    </row>
    <row r="191" spans="1:79" ht="12.75">
      <c r="A191" s="97">
        <v>5</v>
      </c>
      <c r="B191" s="73" t="s">
        <v>30</v>
      </c>
      <c r="C191" s="159">
        <f t="shared" si="93"/>
      </c>
      <c r="D191" s="73" t="s">
        <v>79</v>
      </c>
      <c r="E191" s="269" t="e">
        <f t="shared" si="94"/>
        <v>#VALUE!</v>
      </c>
      <c r="F191" s="74" t="s">
        <v>80</v>
      </c>
      <c r="G191" s="272" t="e">
        <f t="shared" si="95"/>
        <v>#VALUE!</v>
      </c>
      <c r="H191" s="74" t="s">
        <v>80</v>
      </c>
      <c r="I191" s="269" t="e">
        <f t="shared" si="96"/>
        <v>#VALUE!</v>
      </c>
      <c r="J191" s="74" t="s">
        <v>81</v>
      </c>
      <c r="K191" s="158" t="e">
        <f t="shared" si="97"/>
        <v>#VALUE!</v>
      </c>
      <c r="L191" s="164">
        <v>0.49</v>
      </c>
      <c r="M191" s="73" t="s">
        <v>30</v>
      </c>
      <c r="N191" s="97">
        <v>10</v>
      </c>
      <c r="O191" s="73" t="s">
        <v>79</v>
      </c>
      <c r="P191" s="160">
        <f>IF(Istruzioni!$E$7&lt;&gt;"",CostoUnitMatPrima*Qtà,"")</f>
      </c>
      <c r="Q191" s="72" t="s">
        <v>158</v>
      </c>
      <c r="R191" s="272" t="e">
        <f>IF(Z191,P191*(-S191*Valori!$B$14/100+1)*(T191*Valori!$C$14/100+1)*(U191*Valori!$D$14/100+1)+K191,"ERRORE")</f>
        <v>#VALUE!</v>
      </c>
      <c r="S191" s="94">
        <v>2</v>
      </c>
      <c r="T191" s="98">
        <v>2</v>
      </c>
      <c r="U191" s="93">
        <v>3</v>
      </c>
      <c r="V191" s="160" t="e">
        <f>IF(Z191,R191*(1&amp;","&amp;Valori!$B$7),"ERRORE")</f>
        <v>#VALUE!</v>
      </c>
      <c r="W191" s="109">
        <f t="shared" si="92"/>
        <v>2</v>
      </c>
      <c r="X191" s="109">
        <f t="shared" si="92"/>
        <v>2</v>
      </c>
      <c r="Y191" s="109">
        <f t="shared" si="92"/>
        <v>3</v>
      </c>
      <c r="Z191" s="110" t="b">
        <f t="shared" si="98"/>
        <v>1</v>
      </c>
      <c r="AA191" s="153"/>
      <c r="AB191"/>
      <c r="AC191" s="284"/>
      <c r="CA191" s="7"/>
    </row>
    <row r="192" spans="1:79" ht="12.75">
      <c r="A192" s="97">
        <v>5</v>
      </c>
      <c r="B192" s="73" t="s">
        <v>30</v>
      </c>
      <c r="C192" s="159">
        <f t="shared" si="93"/>
      </c>
      <c r="D192" s="73" t="s">
        <v>79</v>
      </c>
      <c r="E192" s="269" t="e">
        <f t="shared" si="94"/>
        <v>#VALUE!</v>
      </c>
      <c r="F192" s="74" t="s">
        <v>80</v>
      </c>
      <c r="G192" s="272" t="e">
        <f t="shared" si="95"/>
        <v>#VALUE!</v>
      </c>
      <c r="H192" s="74" t="s">
        <v>80</v>
      </c>
      <c r="I192" s="269" t="e">
        <f t="shared" si="96"/>
        <v>#VALUE!</v>
      </c>
      <c r="J192" s="74" t="s">
        <v>81</v>
      </c>
      <c r="K192" s="158" t="e">
        <f t="shared" si="97"/>
        <v>#VALUE!</v>
      </c>
      <c r="L192" s="164">
        <v>0.49</v>
      </c>
      <c r="M192" s="73" t="s">
        <v>30</v>
      </c>
      <c r="N192" s="97">
        <v>1</v>
      </c>
      <c r="O192" s="73" t="s">
        <v>79</v>
      </c>
      <c r="P192" s="160">
        <f>IF(Istruzioni!$E$7&lt;&gt;"",CostoUnitMatPrima*Qtà,"")</f>
      </c>
      <c r="Q192" s="72" t="s">
        <v>159</v>
      </c>
      <c r="R192" s="272" t="e">
        <f>IF(Z192,P192*(-S192*Valori!$B$14/100+1)*(T192*Valori!$C$14/100+1)*(U192*Valori!$D$14/100+1)+K192,"ERRORE")</f>
        <v>#VALUE!</v>
      </c>
      <c r="S192" s="94">
        <v>1</v>
      </c>
      <c r="T192" s="98">
        <v>1</v>
      </c>
      <c r="U192" s="93">
        <v>1</v>
      </c>
      <c r="V192" s="160" t="e">
        <f>IF(Z192,R192*(1&amp;","&amp;Valori!$B$7),"ERRORE")</f>
        <v>#VALUE!</v>
      </c>
      <c r="W192" s="109">
        <f t="shared" si="92"/>
        <v>1</v>
      </c>
      <c r="X192" s="109">
        <f t="shared" si="92"/>
        <v>1</v>
      </c>
      <c r="Y192" s="109">
        <f t="shared" si="92"/>
        <v>1</v>
      </c>
      <c r="Z192" s="110" t="b">
        <f t="shared" si="98"/>
        <v>1</v>
      </c>
      <c r="AA192" s="153"/>
      <c r="AB192"/>
      <c r="AC192" s="284"/>
      <c r="CA192" s="7"/>
    </row>
    <row r="193" spans="1:16" ht="12.75">
      <c r="A193" s="121"/>
      <c r="P193" s="277"/>
    </row>
    <row r="194" ht="12.75">
      <c r="A194" s="122" t="str">
        <f>Istruzioni!$D$4</f>
        <v>             Realizzazione ed implementazione progetto: Sandro D'Antonio © 1996-2002 UAPI Udine </v>
      </c>
    </row>
    <row r="195" ht="12.75">
      <c r="A195" s="120"/>
    </row>
    <row r="205" ht="12.75">
      <c r="A205" s="118"/>
    </row>
    <row r="502" ht="13.5" thickBot="1">
      <c r="AB502" s="127"/>
    </row>
    <row r="503" spans="28:32" ht="24" customHeight="1" thickBot="1" thickTop="1">
      <c r="AB503" s="140" t="s">
        <v>160</v>
      </c>
      <c r="AC503" s="287"/>
      <c r="AD503" s="287"/>
      <c r="AE503" s="137"/>
      <c r="AF503"/>
    </row>
    <row r="504" spans="28:32" ht="14.25" thickBot="1" thickTop="1">
      <c r="AB504" s="46"/>
      <c r="AC504" s="288"/>
      <c r="AD504" s="289" t="s">
        <v>161</v>
      </c>
      <c r="AE504" s="128">
        <f ca="1">TODAY()</f>
        <v>37405</v>
      </c>
      <c r="AF504"/>
    </row>
    <row r="505" spans="28:31" ht="33.75" customHeight="1" thickBot="1" thickTop="1">
      <c r="AB505" s="141">
        <f>IF(Istruzioni!$E$7&lt;&gt;"","Descrizione della Lavorazione","")</f>
      </c>
      <c r="AC505" s="290">
        <f>IF(Istruzioni!$E$7&lt;&gt;"","Prezzo di Riferim. (Senza Iva)","")</f>
      </c>
      <c r="AD505" s="291">
        <f>IF(Istruzioni!$E$7&lt;&gt;"","Prezzo di Riferim. (Ivato)","")</f>
      </c>
      <c r="AE505" s="142" t="s">
        <v>162</v>
      </c>
    </row>
    <row r="506" spans="28:31" ht="19.5" thickTop="1">
      <c r="AB506" s="26">
        <f>IF(Istruzioni!$E$7&lt;&gt;"","Lavorazioni in Studio","")</f>
      </c>
      <c r="AC506" s="288"/>
      <c r="AD506" s="292"/>
      <c r="AE506" s="10"/>
    </row>
    <row r="507" spans="28:31" ht="15" customHeight="1">
      <c r="AB507" s="17" t="s">
        <v>29</v>
      </c>
      <c r="AC507" s="293"/>
      <c r="AD507" s="294">
        <f>IF(Istruzioni!$E$7&lt;&gt;"",Istruzioni!$E$7&amp;" - Confartigianato","")</f>
      </c>
      <c r="AE507" s="10"/>
    </row>
    <row r="508" spans="28:32" ht="15.75">
      <c r="AB508" s="138" t="str">
        <f>Q4</f>
        <v>4 Fototessere Immediate Polaroid</v>
      </c>
      <c r="AC508" s="295" t="e">
        <f>R4</f>
        <v>#VALUE!</v>
      </c>
      <c r="AD508" s="296" t="e">
        <f>V4</f>
        <v>#VALUE!</v>
      </c>
      <c r="AE508" s="135"/>
      <c r="AF508"/>
    </row>
    <row r="509" spans="28:32" ht="15.75">
      <c r="AB509" s="139" t="str">
        <f>Q5</f>
        <v>6 Fototessere Immediate Polaroid</v>
      </c>
      <c r="AC509" s="297" t="e">
        <f>R5</f>
        <v>#VALUE!</v>
      </c>
      <c r="AD509" s="298" t="e">
        <f>V5</f>
        <v>#VALUE!</v>
      </c>
      <c r="AE509" s="135"/>
      <c r="AF509"/>
    </row>
    <row r="510" spans="28:32" ht="15.75">
      <c r="AB510" s="139" t="str">
        <f aca="true" t="shared" si="99" ref="AB510:AB518">Q9</f>
        <v>4 fototessere ritoccate colore 4x6</v>
      </c>
      <c r="AC510" s="297" t="e">
        <f aca="true" t="shared" si="100" ref="AC510:AC518">R9</f>
        <v>#VALUE!</v>
      </c>
      <c r="AD510" s="298" t="e">
        <f aca="true" t="shared" si="101" ref="AD510:AD518">V9</f>
        <v>#VALUE!</v>
      </c>
      <c r="AE510" s="135"/>
      <c r="AF510"/>
    </row>
    <row r="511" spans="28:32" ht="15.75">
      <c r="AB511" s="139" t="str">
        <f t="shared" si="99"/>
        <v>4 fototessere ritoccate colore 6x9</v>
      </c>
      <c r="AC511" s="297" t="e">
        <f t="shared" si="100"/>
        <v>#VALUE!</v>
      </c>
      <c r="AD511" s="298" t="e">
        <f t="shared" si="101"/>
        <v>#VALUE!</v>
      </c>
      <c r="AE511" s="135"/>
      <c r="AF511"/>
    </row>
    <row r="512" spans="28:32" ht="15.75">
      <c r="AB512" s="139" t="str">
        <f t="shared" si="99"/>
        <v>4 fototessere ritoccate b&amp;n 6x9</v>
      </c>
      <c r="AC512" s="297" t="e">
        <f t="shared" si="100"/>
        <v>#VALUE!</v>
      </c>
      <c r="AD512" s="298" t="e">
        <f t="shared" si="101"/>
        <v>#VALUE!</v>
      </c>
      <c r="AE512" s="135"/>
      <c r="AF512"/>
    </row>
    <row r="513" spans="28:32" ht="15.75">
      <c r="AB513" s="139" t="str">
        <f t="shared" si="99"/>
        <v>6 fototessere ritoccate colore 4x6</v>
      </c>
      <c r="AC513" s="297" t="e">
        <f t="shared" si="100"/>
        <v>#VALUE!</v>
      </c>
      <c r="AD513" s="298" t="e">
        <f t="shared" si="101"/>
        <v>#VALUE!</v>
      </c>
      <c r="AE513" s="135"/>
      <c r="AF513"/>
    </row>
    <row r="514" spans="28:32" ht="15.75">
      <c r="AB514" s="139" t="str">
        <f t="shared" si="99"/>
        <v>6 fototessere ritoccate colore 6x9</v>
      </c>
      <c r="AC514" s="297" t="e">
        <f t="shared" si="100"/>
        <v>#VALUE!</v>
      </c>
      <c r="AD514" s="298" t="e">
        <f t="shared" si="101"/>
        <v>#VALUE!</v>
      </c>
      <c r="AE514" s="135"/>
      <c r="AF514"/>
    </row>
    <row r="515" spans="28:32" ht="15.75">
      <c r="AB515" s="139" t="str">
        <f t="shared" si="99"/>
        <v>6 fototessere ritoccate b&amp;n 6x9</v>
      </c>
      <c r="AC515" s="297" t="e">
        <f t="shared" si="100"/>
        <v>#VALUE!</v>
      </c>
      <c r="AD515" s="298" t="e">
        <f t="shared" si="101"/>
        <v>#VALUE!</v>
      </c>
      <c r="AE515" s="135"/>
      <c r="AF515"/>
    </row>
    <row r="516" spans="28:32" ht="15.75">
      <c r="AB516" s="139" t="str">
        <f t="shared" si="99"/>
        <v>4 Ristampe fototessere Polaroid </v>
      </c>
      <c r="AC516" s="297" t="e">
        <f t="shared" si="100"/>
        <v>#VALUE!</v>
      </c>
      <c r="AD516" s="298" t="e">
        <f t="shared" si="101"/>
        <v>#VALUE!</v>
      </c>
      <c r="AE516" s="135"/>
      <c r="AF516"/>
    </row>
    <row r="517" spans="28:32" ht="15.75">
      <c r="AB517" s="139" t="str">
        <f t="shared" si="99"/>
        <v>3 Ristampe fototessere colore 4x6</v>
      </c>
      <c r="AC517" s="297" t="e">
        <f t="shared" si="100"/>
        <v>#VALUE!</v>
      </c>
      <c r="AD517" s="298" t="e">
        <f t="shared" si="101"/>
        <v>#VALUE!</v>
      </c>
      <c r="AE517" s="135"/>
      <c r="AF517"/>
    </row>
    <row r="518" spans="28:32" ht="15.75">
      <c r="AB518" s="139" t="str">
        <f t="shared" si="99"/>
        <v>3 Ristampe fototessere b&amp;n 6x9</v>
      </c>
      <c r="AC518" s="297" t="e">
        <f t="shared" si="100"/>
        <v>#VALUE!</v>
      </c>
      <c r="AD518" s="298" t="e">
        <f t="shared" si="101"/>
        <v>#VALUE!</v>
      </c>
      <c r="AE518" s="135"/>
      <c r="AF518"/>
    </row>
    <row r="519" spans="28:32" ht="12.75">
      <c r="AB519" s="132" t="str">
        <f aca="true" t="shared" si="102" ref="AB519:AB550">Q18</f>
        <v>Ritratti (Ripresa)</v>
      </c>
      <c r="AC519" s="299"/>
      <c r="AD519" s="294">
        <f>IF(Istruzioni!$E$7&lt;&gt;"",Istruzioni!$E$7&amp;" - Confartigianato","")</f>
      </c>
      <c r="AE519" s="129"/>
      <c r="AF519"/>
    </row>
    <row r="520" spans="28:32" ht="15.75">
      <c r="AB520" s="138" t="str">
        <f t="shared" si="102"/>
        <v>Servizio fotografico colore</v>
      </c>
      <c r="AC520" s="295" t="e">
        <f aca="true" t="shared" si="103" ref="AC520:AC532">R19</f>
        <v>#VALUE!</v>
      </c>
      <c r="AD520" s="296" t="e">
        <f aca="true" t="shared" si="104" ref="AD520:AD532">V19</f>
        <v>#VALUE!</v>
      </c>
      <c r="AE520" s="135"/>
      <c r="AF520"/>
    </row>
    <row r="521" spans="28:32" ht="15.75">
      <c r="AB521" s="138" t="str">
        <f t="shared" si="102"/>
        <v>Servizio fotografico b&amp;n</v>
      </c>
      <c r="AC521" s="295" t="e">
        <f t="shared" si="103"/>
        <v>#VALUE!</v>
      </c>
      <c r="AD521" s="296" t="e">
        <f t="shared" si="104"/>
        <v>#VALUE!</v>
      </c>
      <c r="AE521" s="135"/>
      <c r="AF521"/>
    </row>
    <row r="522" spans="28:32" ht="15.75">
      <c r="AB522" s="138" t="str">
        <f t="shared" si="102"/>
        <v>Ripresa con 20 provini 135 b&amp;n</v>
      </c>
      <c r="AC522" s="295" t="e">
        <f t="shared" si="103"/>
        <v>#VALUE!</v>
      </c>
      <c r="AD522" s="296" t="e">
        <f t="shared" si="104"/>
        <v>#VALUE!</v>
      </c>
      <c r="AE522" s="135"/>
      <c r="AF522"/>
    </row>
    <row r="523" spans="28:32" ht="15.75">
      <c r="AB523" s="138" t="str">
        <f t="shared" si="102"/>
        <v>Ripresa con 12 provini 120 b&amp;n </v>
      </c>
      <c r="AC523" s="295" t="e">
        <f t="shared" si="103"/>
        <v>#VALUE!</v>
      </c>
      <c r="AD523" s="296" t="e">
        <f t="shared" si="104"/>
        <v>#VALUE!</v>
      </c>
      <c r="AE523" s="135"/>
      <c r="AF523"/>
    </row>
    <row r="524" spans="28:32" ht="15.75">
      <c r="AB524" s="138" t="str">
        <f t="shared" si="102"/>
        <v>Ripresa b&amp;n  9x12 e 4"x5"</v>
      </c>
      <c r="AC524" s="295" t="e">
        <f t="shared" si="103"/>
        <v>#VALUE!</v>
      </c>
      <c r="AD524" s="296" t="e">
        <f t="shared" si="104"/>
        <v>#VALUE!</v>
      </c>
      <c r="AE524" s="135"/>
      <c r="AF524"/>
    </row>
    <row r="525" spans="28:32" ht="15.75">
      <c r="AB525" s="138" t="str">
        <f t="shared" si="102"/>
        <v>Ripresa b&amp;n 13x18</v>
      </c>
      <c r="AC525" s="295" t="e">
        <f t="shared" si="103"/>
        <v>#VALUE!</v>
      </c>
      <c r="AD525" s="296" t="e">
        <f t="shared" si="104"/>
        <v>#VALUE!</v>
      </c>
      <c r="AE525" s="135"/>
      <c r="AF525"/>
    </row>
    <row r="526" spans="28:32" ht="15.75">
      <c r="AB526" s="138" t="str">
        <f t="shared" si="102"/>
        <v>Ripresa b&amp;n 20x25</v>
      </c>
      <c r="AC526" s="295" t="e">
        <f t="shared" si="103"/>
        <v>#VALUE!</v>
      </c>
      <c r="AD526" s="296" t="e">
        <f t="shared" si="104"/>
        <v>#VALUE!</v>
      </c>
      <c r="AE526" s="135"/>
      <c r="AF526"/>
    </row>
    <row r="527" spans="28:32" ht="15.75">
      <c r="AB527" s="138" t="str">
        <f t="shared" si="102"/>
        <v>Ripresa con 20 provini 135 neg. col. </v>
      </c>
      <c r="AC527" s="295" t="e">
        <f t="shared" si="103"/>
        <v>#VALUE!</v>
      </c>
      <c r="AD527" s="296" t="e">
        <f t="shared" si="104"/>
        <v>#VALUE!</v>
      </c>
      <c r="AE527" s="135"/>
      <c r="AF527"/>
    </row>
    <row r="528" spans="28:32" ht="15.75">
      <c r="AB528" s="138" t="str">
        <f t="shared" si="102"/>
        <v>Ripresa con 12 provini 120 neg. col. </v>
      </c>
      <c r="AC528" s="295" t="e">
        <f t="shared" si="103"/>
        <v>#VALUE!</v>
      </c>
      <c r="AD528" s="296" t="e">
        <f t="shared" si="104"/>
        <v>#VALUE!</v>
      </c>
      <c r="AE528" s="135"/>
      <c r="AF528"/>
    </row>
    <row r="529" spans="28:32" ht="15.75">
      <c r="AB529" s="138" t="str">
        <f t="shared" si="102"/>
        <v>Ripresa con 24 provini 220 neg. col.</v>
      </c>
      <c r="AC529" s="295" t="e">
        <f t="shared" si="103"/>
        <v>#VALUE!</v>
      </c>
      <c r="AD529" s="296" t="e">
        <f t="shared" si="104"/>
        <v>#VALUE!</v>
      </c>
      <c r="AE529" s="135"/>
      <c r="AF529"/>
    </row>
    <row r="530" spans="28:32" ht="15.75">
      <c r="AB530" s="138" t="str">
        <f t="shared" si="102"/>
        <v>Ripresa neg. col.  9x12 e 4"x5"</v>
      </c>
      <c r="AC530" s="295" t="e">
        <f t="shared" si="103"/>
        <v>#VALUE!</v>
      </c>
      <c r="AD530" s="296" t="e">
        <f t="shared" si="104"/>
        <v>#VALUE!</v>
      </c>
      <c r="AE530" s="135"/>
      <c r="AF530"/>
    </row>
    <row r="531" spans="28:32" ht="15.75">
      <c r="AB531" s="138" t="str">
        <f t="shared" si="102"/>
        <v>Ripresa neg. col. 13x18</v>
      </c>
      <c r="AC531" s="295" t="e">
        <f t="shared" si="103"/>
        <v>#VALUE!</v>
      </c>
      <c r="AD531" s="296" t="e">
        <f t="shared" si="104"/>
        <v>#VALUE!</v>
      </c>
      <c r="AE531" s="135"/>
      <c r="AF531"/>
    </row>
    <row r="532" spans="28:32" ht="15.75">
      <c r="AB532" s="138" t="str">
        <f t="shared" si="102"/>
        <v>Ripresa neg. col. 20x25</v>
      </c>
      <c r="AC532" s="295" t="e">
        <f t="shared" si="103"/>
        <v>#VALUE!</v>
      </c>
      <c r="AD532" s="296" t="e">
        <f t="shared" si="104"/>
        <v>#VALUE!</v>
      </c>
      <c r="AE532" s="135"/>
      <c r="AF532"/>
    </row>
    <row r="533" spans="28:32" ht="12.75">
      <c r="AB533" s="132" t="str">
        <f t="shared" si="102"/>
        <v>1^ Stampa ritratti</v>
      </c>
      <c r="AC533" s="300"/>
      <c r="AD533" s="294">
        <f>IF(Istruzioni!$E$7&lt;&gt;"",Istruzioni!$E$7&amp;" - Confartigianato","")</f>
      </c>
      <c r="AE533" s="129"/>
      <c r="AF533"/>
    </row>
    <row r="534" spans="28:32" ht="15.75">
      <c r="AB534" s="138" t="str">
        <f t="shared" si="102"/>
        <v>Formato 13 x18 b&amp;n</v>
      </c>
      <c r="AC534" s="295" t="e">
        <f aca="true" t="shared" si="105" ref="AC534:AC543">R33</f>
        <v>#VALUE!</v>
      </c>
      <c r="AD534" s="296" t="e">
        <f aca="true" t="shared" si="106" ref="AD534:AD543">V33</f>
        <v>#VALUE!</v>
      </c>
      <c r="AE534" s="135"/>
      <c r="AF534"/>
    </row>
    <row r="535" spans="28:32" ht="15.75">
      <c r="AB535" s="138" t="str">
        <f t="shared" si="102"/>
        <v>Formato 20x25 e 20x30 b&amp;n</v>
      </c>
      <c r="AC535" s="295" t="e">
        <f t="shared" si="105"/>
        <v>#VALUE!</v>
      </c>
      <c r="AD535" s="296" t="e">
        <f t="shared" si="106"/>
        <v>#VALUE!</v>
      </c>
      <c r="AE535" s="135"/>
      <c r="AF535"/>
    </row>
    <row r="536" spans="28:32" ht="15.75">
      <c r="AB536" s="138" t="str">
        <f t="shared" si="102"/>
        <v>Formato 30x40 b&amp;n</v>
      </c>
      <c r="AC536" s="295" t="e">
        <f t="shared" si="105"/>
        <v>#VALUE!</v>
      </c>
      <c r="AD536" s="296" t="e">
        <f t="shared" si="106"/>
        <v>#VALUE!</v>
      </c>
      <c r="AE536" s="135"/>
      <c r="AF536"/>
    </row>
    <row r="537" spans="28:32" ht="15.75">
      <c r="AB537" s="138" t="str">
        <f t="shared" si="102"/>
        <v>Formato 40x50 b&amp;n</v>
      </c>
      <c r="AC537" s="295" t="e">
        <f t="shared" si="105"/>
        <v>#VALUE!</v>
      </c>
      <c r="AD537" s="296" t="e">
        <f t="shared" si="106"/>
        <v>#VALUE!</v>
      </c>
      <c r="AE537" s="135"/>
      <c r="AF537"/>
    </row>
    <row r="538" spans="28:32" ht="15.75">
      <c r="AB538" s="138" t="str">
        <f t="shared" si="102"/>
        <v>Formato 50x70 b&amp;n</v>
      </c>
      <c r="AC538" s="295" t="e">
        <f t="shared" si="105"/>
        <v>#VALUE!</v>
      </c>
      <c r="AD538" s="296" t="e">
        <f t="shared" si="106"/>
        <v>#VALUE!</v>
      </c>
      <c r="AE538" s="135"/>
      <c r="AF538"/>
    </row>
    <row r="539" spans="28:32" ht="15.75">
      <c r="AB539" s="138" t="str">
        <f t="shared" si="102"/>
        <v>Formato 13 x18  colore</v>
      </c>
      <c r="AC539" s="295" t="e">
        <f t="shared" si="105"/>
        <v>#VALUE!</v>
      </c>
      <c r="AD539" s="296" t="e">
        <f t="shared" si="106"/>
        <v>#VALUE!</v>
      </c>
      <c r="AE539" s="135"/>
      <c r="AF539"/>
    </row>
    <row r="540" spans="28:32" ht="15.75">
      <c r="AB540" s="138" t="str">
        <f t="shared" si="102"/>
        <v>Formato 20x25 e 20x30  colore</v>
      </c>
      <c r="AC540" s="295" t="e">
        <f t="shared" si="105"/>
        <v>#VALUE!</v>
      </c>
      <c r="AD540" s="296" t="e">
        <f t="shared" si="106"/>
        <v>#VALUE!</v>
      </c>
      <c r="AE540" s="135"/>
      <c r="AF540"/>
    </row>
    <row r="541" spans="28:32" ht="15.75">
      <c r="AB541" s="138" t="str">
        <f t="shared" si="102"/>
        <v>Formato 30x40  colore</v>
      </c>
      <c r="AC541" s="295" t="e">
        <f t="shared" si="105"/>
        <v>#VALUE!</v>
      </c>
      <c r="AD541" s="296" t="e">
        <f t="shared" si="106"/>
        <v>#VALUE!</v>
      </c>
      <c r="AE541" s="135"/>
      <c r="AF541"/>
    </row>
    <row r="542" spans="28:32" ht="15.75">
      <c r="AB542" s="138" t="str">
        <f t="shared" si="102"/>
        <v>Formato 40x50  colore</v>
      </c>
      <c r="AC542" s="295" t="e">
        <f t="shared" si="105"/>
        <v>#VALUE!</v>
      </c>
      <c r="AD542" s="296" t="e">
        <f t="shared" si="106"/>
        <v>#VALUE!</v>
      </c>
      <c r="AE542" s="135"/>
      <c r="AF542"/>
    </row>
    <row r="543" spans="28:32" ht="15.75">
      <c r="AB543" s="138" t="str">
        <f t="shared" si="102"/>
        <v>Formato 50x70  colore</v>
      </c>
      <c r="AC543" s="295" t="e">
        <f t="shared" si="105"/>
        <v>#VALUE!</v>
      </c>
      <c r="AD543" s="296" t="e">
        <f t="shared" si="106"/>
        <v>#VALUE!</v>
      </c>
      <c r="AE543" s="135"/>
      <c r="AF543"/>
    </row>
    <row r="544" spans="28:32" ht="12.75">
      <c r="AB544" s="132" t="str">
        <f t="shared" si="102"/>
        <v>Ristampe ritratti (successive)</v>
      </c>
      <c r="AC544" s="300"/>
      <c r="AD544" s="294">
        <f>IF(Istruzioni!$E$7&lt;&gt;"",Istruzioni!$E$7&amp;" - Confartigianato","")</f>
      </c>
      <c r="AE544" s="129"/>
      <c r="AF544"/>
    </row>
    <row r="545" spans="28:32" ht="15.75">
      <c r="AB545" s="138" t="str">
        <f t="shared" si="102"/>
        <v>Formato 13 x18 Colore</v>
      </c>
      <c r="AC545" s="295" t="e">
        <f aca="true" t="shared" si="107" ref="AC545:AC554">R44</f>
        <v>#VALUE!</v>
      </c>
      <c r="AD545" s="296" t="e">
        <f aca="true" t="shared" si="108" ref="AD545:AD554">V44</f>
        <v>#VALUE!</v>
      </c>
      <c r="AE545" s="136"/>
      <c r="AF545"/>
    </row>
    <row r="546" spans="28:32" ht="15.75">
      <c r="AB546" s="138" t="str">
        <f t="shared" si="102"/>
        <v>Formato 20x25 e 20x30 Colore</v>
      </c>
      <c r="AC546" s="295" t="e">
        <f t="shared" si="107"/>
        <v>#VALUE!</v>
      </c>
      <c r="AD546" s="296" t="e">
        <f t="shared" si="108"/>
        <v>#VALUE!</v>
      </c>
      <c r="AE546" s="136"/>
      <c r="AF546"/>
    </row>
    <row r="547" spans="28:32" ht="15.75">
      <c r="AB547" s="138" t="str">
        <f t="shared" si="102"/>
        <v>Formato 30x40 Colore</v>
      </c>
      <c r="AC547" s="295" t="e">
        <f t="shared" si="107"/>
        <v>#VALUE!</v>
      </c>
      <c r="AD547" s="296" t="e">
        <f t="shared" si="108"/>
        <v>#VALUE!</v>
      </c>
      <c r="AE547" s="136"/>
      <c r="AF547"/>
    </row>
    <row r="548" spans="28:32" ht="15.75">
      <c r="AB548" s="138" t="str">
        <f t="shared" si="102"/>
        <v>Formato 40x50 Colore</v>
      </c>
      <c r="AC548" s="295" t="e">
        <f t="shared" si="107"/>
        <v>#VALUE!</v>
      </c>
      <c r="AD548" s="296" t="e">
        <f t="shared" si="108"/>
        <v>#VALUE!</v>
      </c>
      <c r="AE548" s="136"/>
      <c r="AF548"/>
    </row>
    <row r="549" spans="28:32" ht="15.75">
      <c r="AB549" s="138" t="str">
        <f t="shared" si="102"/>
        <v>Formato 50x70 Colore</v>
      </c>
      <c r="AC549" s="295" t="e">
        <f t="shared" si="107"/>
        <v>#VALUE!</v>
      </c>
      <c r="AD549" s="296" t="e">
        <f t="shared" si="108"/>
        <v>#VALUE!</v>
      </c>
      <c r="AE549" s="136"/>
      <c r="AF549"/>
    </row>
    <row r="550" spans="28:32" ht="15.75">
      <c r="AB550" s="138" t="str">
        <f t="shared" si="102"/>
        <v>Formato 13 x18 b&amp;n</v>
      </c>
      <c r="AC550" s="295" t="e">
        <f t="shared" si="107"/>
        <v>#VALUE!</v>
      </c>
      <c r="AD550" s="296" t="e">
        <f t="shared" si="108"/>
        <v>#VALUE!</v>
      </c>
      <c r="AE550" s="136"/>
      <c r="AF550"/>
    </row>
    <row r="551" spans="28:32" ht="15.75">
      <c r="AB551" s="138" t="str">
        <f aca="true" t="shared" si="109" ref="AB551:AB582">Q50</f>
        <v>Formato 20x25 e 20x30 b&amp;n</v>
      </c>
      <c r="AC551" s="295" t="e">
        <f t="shared" si="107"/>
        <v>#VALUE!</v>
      </c>
      <c r="AD551" s="296" t="e">
        <f t="shared" si="108"/>
        <v>#VALUE!</v>
      </c>
      <c r="AE551" s="136"/>
      <c r="AF551"/>
    </row>
    <row r="552" spans="28:32" ht="15.75">
      <c r="AB552" s="138" t="str">
        <f t="shared" si="109"/>
        <v>Formato 30x40 b&amp;n</v>
      </c>
      <c r="AC552" s="295" t="e">
        <f t="shared" si="107"/>
        <v>#VALUE!</v>
      </c>
      <c r="AD552" s="296" t="e">
        <f t="shared" si="108"/>
        <v>#VALUE!</v>
      </c>
      <c r="AE552" s="136"/>
      <c r="AF552"/>
    </row>
    <row r="553" spans="28:32" ht="15.75">
      <c r="AB553" s="138" t="str">
        <f t="shared" si="109"/>
        <v>Formato 40x50 b&amp;n</v>
      </c>
      <c r="AC553" s="295" t="e">
        <f t="shared" si="107"/>
        <v>#VALUE!</v>
      </c>
      <c r="AD553" s="296" t="e">
        <f t="shared" si="108"/>
        <v>#VALUE!</v>
      </c>
      <c r="AE553" s="136"/>
      <c r="AF553"/>
    </row>
    <row r="554" spans="28:32" ht="15.75">
      <c r="AB554" s="138" t="str">
        <f t="shared" si="109"/>
        <v>Formato 50x70 b&amp;n</v>
      </c>
      <c r="AC554" s="295" t="e">
        <f t="shared" si="107"/>
        <v>#VALUE!</v>
      </c>
      <c r="AD554" s="296" t="e">
        <f t="shared" si="108"/>
        <v>#VALUE!</v>
      </c>
      <c r="AE554" s="136"/>
      <c r="AF554"/>
    </row>
    <row r="555" spans="28:32" ht="12.75">
      <c r="AB555" s="133" t="str">
        <f t="shared" si="109"/>
        <v>Riproduzione di foto o disegni senza ritocco</v>
      </c>
      <c r="AC555" s="300"/>
      <c r="AD555" s="294">
        <f>IF(Istruzioni!$E$7&lt;&gt;"",Istruzioni!$E$7&amp;" - Confartigianato","")</f>
      </c>
      <c r="AE555" s="130"/>
      <c r="AF555"/>
    </row>
    <row r="556" spans="28:32" ht="15.75">
      <c r="AB556" s="138" t="str">
        <f t="shared" si="109"/>
        <v>Riproduzione in b&amp;n 135</v>
      </c>
      <c r="AC556" s="295" t="e">
        <f aca="true" t="shared" si="110" ref="AC556:AC573">R55</f>
        <v>#VALUE!</v>
      </c>
      <c r="AD556" s="296" t="e">
        <f aca="true" t="shared" si="111" ref="AD556:AD573">V55</f>
        <v>#VALUE!</v>
      </c>
      <c r="AE556" s="135"/>
      <c r="AF556"/>
    </row>
    <row r="557" spans="28:32" ht="15.75">
      <c r="AB557" s="138" t="str">
        <f t="shared" si="109"/>
        <v>Riproduzione in b&amp;n 120</v>
      </c>
      <c r="AC557" s="295" t="e">
        <f t="shared" si="110"/>
        <v>#VALUE!</v>
      </c>
      <c r="AD557" s="296" t="e">
        <f t="shared" si="111"/>
        <v>#VALUE!</v>
      </c>
      <c r="AE557" s="135"/>
      <c r="AF557"/>
    </row>
    <row r="558" spans="28:32" ht="15.75">
      <c r="AB558" s="138" t="str">
        <f t="shared" si="109"/>
        <v>Riproduzione in b&amp;n 6x9</v>
      </c>
      <c r="AC558" s="295" t="e">
        <f t="shared" si="110"/>
        <v>#VALUE!</v>
      </c>
      <c r="AD558" s="296" t="e">
        <f t="shared" si="111"/>
        <v>#VALUE!</v>
      </c>
      <c r="AE558" s="135"/>
      <c r="AF558"/>
    </row>
    <row r="559" spans="28:32" ht="15.75">
      <c r="AB559" s="138" t="str">
        <f t="shared" si="109"/>
        <v>Riproduzione in b&amp;n 9x12 e 4"x5"</v>
      </c>
      <c r="AC559" s="295" t="e">
        <f t="shared" si="110"/>
        <v>#VALUE!</v>
      </c>
      <c r="AD559" s="296" t="e">
        <f t="shared" si="111"/>
        <v>#VALUE!</v>
      </c>
      <c r="AE559" s="135"/>
      <c r="AF559"/>
    </row>
    <row r="560" spans="28:32" ht="15.75">
      <c r="AB560" s="138" t="str">
        <f t="shared" si="109"/>
        <v>Riproduzione in b&amp;n 13x18</v>
      </c>
      <c r="AC560" s="295" t="e">
        <f t="shared" si="110"/>
        <v>#VALUE!</v>
      </c>
      <c r="AD560" s="296" t="e">
        <f t="shared" si="111"/>
        <v>#VALUE!</v>
      </c>
      <c r="AE560" s="135"/>
      <c r="AF560"/>
    </row>
    <row r="561" spans="28:32" ht="15.75">
      <c r="AB561" s="138" t="str">
        <f t="shared" si="109"/>
        <v>Riproduzione in b&amp;n 20x25</v>
      </c>
      <c r="AC561" s="295" t="e">
        <f t="shared" si="110"/>
        <v>#VALUE!</v>
      </c>
      <c r="AD561" s="296" t="e">
        <f t="shared" si="111"/>
        <v>#VALUE!</v>
      </c>
      <c r="AE561" s="135"/>
      <c r="AF561"/>
    </row>
    <row r="562" spans="28:32" ht="15.75">
      <c r="AB562" s="138" t="str">
        <f t="shared" si="109"/>
        <v>Riproduzione in  neg. col.  135</v>
      </c>
      <c r="AC562" s="295" t="e">
        <f t="shared" si="110"/>
        <v>#VALUE!</v>
      </c>
      <c r="AD562" s="296" t="e">
        <f t="shared" si="111"/>
        <v>#VALUE!</v>
      </c>
      <c r="AE562" s="135"/>
      <c r="AF562"/>
    </row>
    <row r="563" spans="28:32" ht="15.75">
      <c r="AB563" s="138" t="str">
        <f t="shared" si="109"/>
        <v>Riproduzione in  neg. col.  120</v>
      </c>
      <c r="AC563" s="295" t="e">
        <f t="shared" si="110"/>
        <v>#VALUE!</v>
      </c>
      <c r="AD563" s="296" t="e">
        <f t="shared" si="111"/>
        <v>#VALUE!</v>
      </c>
      <c r="AE563" s="135"/>
      <c r="AF563"/>
    </row>
    <row r="564" spans="28:32" ht="15.75">
      <c r="AB564" s="138" t="str">
        <f t="shared" si="109"/>
        <v>Riproduzione in  neg. col.  6x9</v>
      </c>
      <c r="AC564" s="295" t="e">
        <f t="shared" si="110"/>
        <v>#VALUE!</v>
      </c>
      <c r="AD564" s="296" t="e">
        <f t="shared" si="111"/>
        <v>#VALUE!</v>
      </c>
      <c r="AE564" s="135"/>
      <c r="AF564"/>
    </row>
    <row r="565" spans="28:32" ht="15.75">
      <c r="AB565" s="138" t="str">
        <f t="shared" si="109"/>
        <v>Riproduzione in  neg. col.  9x12 e 4"x5"</v>
      </c>
      <c r="AC565" s="295" t="e">
        <f t="shared" si="110"/>
        <v>#VALUE!</v>
      </c>
      <c r="AD565" s="296" t="e">
        <f t="shared" si="111"/>
        <v>#VALUE!</v>
      </c>
      <c r="AE565" s="135"/>
      <c r="AF565"/>
    </row>
    <row r="566" spans="28:32" ht="15.75">
      <c r="AB566" s="138" t="str">
        <f t="shared" si="109"/>
        <v>Riproduzione in  neg. col.  13x18</v>
      </c>
      <c r="AC566" s="295" t="e">
        <f t="shared" si="110"/>
        <v>#VALUE!</v>
      </c>
      <c r="AD566" s="296" t="e">
        <f t="shared" si="111"/>
        <v>#VALUE!</v>
      </c>
      <c r="AE566" s="135"/>
      <c r="AF566"/>
    </row>
    <row r="567" spans="28:32" ht="15.75">
      <c r="AB567" s="138" t="str">
        <f t="shared" si="109"/>
        <v>Riproduzione in  neg. col.  20x25</v>
      </c>
      <c r="AC567" s="295" t="e">
        <f t="shared" si="110"/>
        <v>#VALUE!</v>
      </c>
      <c r="AD567" s="296" t="e">
        <f t="shared" si="111"/>
        <v>#VALUE!</v>
      </c>
      <c r="AE567" s="135"/>
      <c r="AF567"/>
    </row>
    <row r="568" spans="28:32" ht="15.75">
      <c r="AB568" s="138" t="str">
        <f t="shared" si="109"/>
        <v>Riproduzione in diapositiva  135</v>
      </c>
      <c r="AC568" s="295" t="e">
        <f t="shared" si="110"/>
        <v>#VALUE!</v>
      </c>
      <c r="AD568" s="296" t="e">
        <f t="shared" si="111"/>
        <v>#VALUE!</v>
      </c>
      <c r="AE568" s="135"/>
      <c r="AF568"/>
    </row>
    <row r="569" spans="28:32" ht="15.75">
      <c r="AB569" s="138" t="str">
        <f t="shared" si="109"/>
        <v>Riproduzione in diapositiva 120</v>
      </c>
      <c r="AC569" s="295" t="e">
        <f t="shared" si="110"/>
        <v>#VALUE!</v>
      </c>
      <c r="AD569" s="296" t="e">
        <f t="shared" si="111"/>
        <v>#VALUE!</v>
      </c>
      <c r="AE569" s="135"/>
      <c r="AF569"/>
    </row>
    <row r="570" spans="28:32" ht="15.75">
      <c r="AB570" s="138" t="str">
        <f t="shared" si="109"/>
        <v>Riproduzione in diapositiva 6x9</v>
      </c>
      <c r="AC570" s="295" t="e">
        <f t="shared" si="110"/>
        <v>#VALUE!</v>
      </c>
      <c r="AD570" s="296" t="e">
        <f t="shared" si="111"/>
        <v>#VALUE!</v>
      </c>
      <c r="AE570" s="135"/>
      <c r="AF570"/>
    </row>
    <row r="571" spans="28:32" ht="15.75">
      <c r="AB571" s="138" t="str">
        <f t="shared" si="109"/>
        <v>Riproduzione in diapositiva 9x12-4"x5"</v>
      </c>
      <c r="AC571" s="295" t="e">
        <f t="shared" si="110"/>
        <v>#VALUE!</v>
      </c>
      <c r="AD571" s="296" t="e">
        <f t="shared" si="111"/>
        <v>#VALUE!</v>
      </c>
      <c r="AE571" s="135"/>
      <c r="AF571"/>
    </row>
    <row r="572" spans="28:32" ht="15.75">
      <c r="AB572" s="138" t="str">
        <f t="shared" si="109"/>
        <v>Riproduzione in diapositiva 13x18</v>
      </c>
      <c r="AC572" s="295" t="e">
        <f t="shared" si="110"/>
        <v>#VALUE!</v>
      </c>
      <c r="AD572" s="296" t="e">
        <f t="shared" si="111"/>
        <v>#VALUE!</v>
      </c>
      <c r="AE572" s="135"/>
      <c r="AF572"/>
    </row>
    <row r="573" spans="28:32" ht="15.75">
      <c r="AB573" s="138" t="str">
        <f t="shared" si="109"/>
        <v>Riproduzione in diapositiva 20x25</v>
      </c>
      <c r="AC573" s="295" t="e">
        <f t="shared" si="110"/>
        <v>#VALUE!</v>
      </c>
      <c r="AD573" s="296" t="e">
        <f t="shared" si="111"/>
        <v>#VALUE!</v>
      </c>
      <c r="AE573" s="135"/>
      <c r="AF573"/>
    </row>
    <row r="574" spans="28:32" ht="12.75">
      <c r="AB574" s="132" t="str">
        <f t="shared" si="109"/>
        <v>Stampe da Riproduzione</v>
      </c>
      <c r="AC574" s="300"/>
      <c r="AD574" s="294">
        <f>IF(Istruzioni!$E$7&lt;&gt;"",Istruzioni!$E$7&amp;" - Confartigianato","")</f>
      </c>
      <c r="AE574" s="129"/>
      <c r="AF574"/>
    </row>
    <row r="575" spans="28:32" ht="15.75">
      <c r="AB575" s="138" t="str">
        <f t="shared" si="109"/>
        <v>St. da riprod. b&amp;n fino al 13x18</v>
      </c>
      <c r="AC575" s="295" t="e">
        <f aca="true" t="shared" si="112" ref="AC575:AC589">R74</f>
        <v>#VALUE!</v>
      </c>
      <c r="AD575" s="296" t="e">
        <f aca="true" t="shared" si="113" ref="AD575:AD589">V74</f>
        <v>#VALUE!</v>
      </c>
      <c r="AE575" s="135"/>
      <c r="AF575"/>
    </row>
    <row r="576" spans="28:32" ht="15.75">
      <c r="AB576" s="138" t="str">
        <f t="shared" si="109"/>
        <v>St. da riprod. b&amp;n  20x30</v>
      </c>
      <c r="AC576" s="295" t="e">
        <f t="shared" si="112"/>
        <v>#VALUE!</v>
      </c>
      <c r="AD576" s="296" t="e">
        <f t="shared" si="113"/>
        <v>#VALUE!</v>
      </c>
      <c r="AE576" s="135"/>
      <c r="AF576"/>
    </row>
    <row r="577" spans="28:32" ht="15.75">
      <c r="AB577" s="138" t="str">
        <f t="shared" si="109"/>
        <v>St. da riprod. b&amp;n 30x40</v>
      </c>
      <c r="AC577" s="295" t="e">
        <f t="shared" si="112"/>
        <v>#VALUE!</v>
      </c>
      <c r="AD577" s="296" t="e">
        <f t="shared" si="113"/>
        <v>#VALUE!</v>
      </c>
      <c r="AE577" s="135"/>
      <c r="AF577"/>
    </row>
    <row r="578" spans="28:32" ht="15.75">
      <c r="AB578" s="138" t="str">
        <f t="shared" si="109"/>
        <v>St. da riprod. b&amp;n fino al 40x50</v>
      </c>
      <c r="AC578" s="295" t="e">
        <f t="shared" si="112"/>
        <v>#VALUE!</v>
      </c>
      <c r="AD578" s="296" t="e">
        <f t="shared" si="113"/>
        <v>#VALUE!</v>
      </c>
      <c r="AE578" s="135"/>
      <c r="AF578"/>
    </row>
    <row r="579" spans="28:32" ht="15.75">
      <c r="AB579" s="138" t="str">
        <f t="shared" si="109"/>
        <v>St. da riprod. b&amp;n fino al 50x70</v>
      </c>
      <c r="AC579" s="295" t="e">
        <f t="shared" si="112"/>
        <v>#VALUE!</v>
      </c>
      <c r="AD579" s="296" t="e">
        <f t="shared" si="113"/>
        <v>#VALUE!</v>
      </c>
      <c r="AE579" s="135"/>
      <c r="AF579"/>
    </row>
    <row r="580" spans="28:32" ht="15.75">
      <c r="AB580" s="138" t="str">
        <f t="shared" si="109"/>
        <v>St. da riprod. colore fino al 13x18</v>
      </c>
      <c r="AC580" s="295" t="e">
        <f t="shared" si="112"/>
        <v>#VALUE!</v>
      </c>
      <c r="AD580" s="296" t="e">
        <f t="shared" si="113"/>
        <v>#VALUE!</v>
      </c>
      <c r="AE580" s="135"/>
      <c r="AF580"/>
    </row>
    <row r="581" spans="28:32" ht="15.75">
      <c r="AB581" s="138" t="str">
        <f t="shared" si="109"/>
        <v>St. da riprod. colore  20x30</v>
      </c>
      <c r="AC581" s="295" t="e">
        <f t="shared" si="112"/>
        <v>#VALUE!</v>
      </c>
      <c r="AD581" s="296" t="e">
        <f t="shared" si="113"/>
        <v>#VALUE!</v>
      </c>
      <c r="AE581" s="135"/>
      <c r="AF581"/>
    </row>
    <row r="582" spans="28:32" ht="15.75">
      <c r="AB582" s="138" t="str">
        <f t="shared" si="109"/>
        <v>St. da riprod. colore 30x40</v>
      </c>
      <c r="AC582" s="295" t="e">
        <f t="shared" si="112"/>
        <v>#VALUE!</v>
      </c>
      <c r="AD582" s="296" t="e">
        <f t="shared" si="113"/>
        <v>#VALUE!</v>
      </c>
      <c r="AE582" s="135"/>
      <c r="AF582"/>
    </row>
    <row r="583" spans="28:32" ht="15.75">
      <c r="AB583" s="138" t="str">
        <f aca="true" t="shared" si="114" ref="AB583:AB614">Q82</f>
        <v>St. da riprod. colore fino al 40x50</v>
      </c>
      <c r="AC583" s="295" t="e">
        <f t="shared" si="112"/>
        <v>#VALUE!</v>
      </c>
      <c r="AD583" s="296" t="e">
        <f t="shared" si="113"/>
        <v>#VALUE!</v>
      </c>
      <c r="AE583" s="135"/>
      <c r="AF583"/>
    </row>
    <row r="584" spans="28:32" ht="15.75">
      <c r="AB584" s="138" t="str">
        <f t="shared" si="114"/>
        <v>St. da riprod. colore fino al 50x70</v>
      </c>
      <c r="AC584" s="295" t="e">
        <f t="shared" si="112"/>
        <v>#VALUE!</v>
      </c>
      <c r="AD584" s="296" t="e">
        <f t="shared" si="113"/>
        <v>#VALUE!</v>
      </c>
      <c r="AE584" s="135"/>
      <c r="AF584"/>
    </row>
    <row r="585" spans="28:32" ht="15.75">
      <c r="AB585" s="138" t="str">
        <f t="shared" si="114"/>
        <v>St. da riprod. diapositiva fino al 13x18</v>
      </c>
      <c r="AC585" s="295" t="e">
        <f t="shared" si="112"/>
        <v>#VALUE!</v>
      </c>
      <c r="AD585" s="296" t="e">
        <f t="shared" si="113"/>
        <v>#VALUE!</v>
      </c>
      <c r="AE585" s="135"/>
      <c r="AF585"/>
    </row>
    <row r="586" spans="28:32" ht="15.75">
      <c r="AB586" s="138" t="str">
        <f t="shared" si="114"/>
        <v>St. da riprod. diapositiva 20x30</v>
      </c>
      <c r="AC586" s="295" t="e">
        <f t="shared" si="112"/>
        <v>#VALUE!</v>
      </c>
      <c r="AD586" s="296" t="e">
        <f t="shared" si="113"/>
        <v>#VALUE!</v>
      </c>
      <c r="AE586" s="135"/>
      <c r="AF586"/>
    </row>
    <row r="587" spans="28:32" ht="15.75">
      <c r="AB587" s="138" t="str">
        <f t="shared" si="114"/>
        <v>St. da riprod. diapositiva 30x40</v>
      </c>
      <c r="AC587" s="295" t="e">
        <f t="shared" si="112"/>
        <v>#VALUE!</v>
      </c>
      <c r="AD587" s="296" t="e">
        <f t="shared" si="113"/>
        <v>#VALUE!</v>
      </c>
      <c r="AE587" s="135"/>
      <c r="AF587"/>
    </row>
    <row r="588" spans="28:32" ht="15.75">
      <c r="AB588" s="138" t="str">
        <f t="shared" si="114"/>
        <v>St. da riprod. diapositiva 40x50</v>
      </c>
      <c r="AC588" s="295" t="e">
        <f t="shared" si="112"/>
        <v>#VALUE!</v>
      </c>
      <c r="AD588" s="296" t="e">
        <f t="shared" si="113"/>
        <v>#VALUE!</v>
      </c>
      <c r="AE588" s="135"/>
      <c r="AF588"/>
    </row>
    <row r="589" spans="28:32" ht="15.75">
      <c r="AB589" s="138" t="str">
        <f t="shared" si="114"/>
        <v>St. da riprod. diapositiva 50x70</v>
      </c>
      <c r="AC589" s="295" t="e">
        <f t="shared" si="112"/>
        <v>#VALUE!</v>
      </c>
      <c r="AD589" s="296" t="e">
        <f t="shared" si="113"/>
        <v>#VALUE!</v>
      </c>
      <c r="AE589" s="135"/>
      <c r="AF589"/>
    </row>
    <row r="590" spans="28:32" ht="12.75">
      <c r="AB590" s="132" t="str">
        <f t="shared" si="114"/>
        <v>Still-Life piccoli e medi oggetti</v>
      </c>
      <c r="AC590" s="300"/>
      <c r="AD590" s="294">
        <f>IF(Istruzioni!$E$7&lt;&gt;"",Istruzioni!$E$7&amp;" - Confartigianato","")</f>
      </c>
      <c r="AE590" s="129"/>
      <c r="AF590"/>
    </row>
    <row r="591" spans="28:32" ht="15.75">
      <c r="AB591" s="138" t="str">
        <f t="shared" si="114"/>
        <v>Ripresa in b&amp;n 135</v>
      </c>
      <c r="AC591" s="295" t="e">
        <f aca="true" t="shared" si="115" ref="AC591:AC602">R90</f>
        <v>#VALUE!</v>
      </c>
      <c r="AD591" s="296" t="e">
        <f aca="true" t="shared" si="116" ref="AD591:AD602">V90</f>
        <v>#VALUE!</v>
      </c>
      <c r="AE591" s="135"/>
      <c r="AF591"/>
    </row>
    <row r="592" spans="28:32" ht="15.75">
      <c r="AB592" s="138" t="str">
        <f t="shared" si="114"/>
        <v>Ripresa in b&amp;n 120</v>
      </c>
      <c r="AC592" s="295" t="e">
        <f t="shared" si="115"/>
        <v>#VALUE!</v>
      </c>
      <c r="AD592" s="296" t="e">
        <f t="shared" si="116"/>
        <v>#VALUE!</v>
      </c>
      <c r="AE592" s="135"/>
      <c r="AF592"/>
    </row>
    <row r="593" spans="28:32" ht="15.75">
      <c r="AB593" s="138" t="str">
        <f t="shared" si="114"/>
        <v>Ripresa in b&amp;n 6x9</v>
      </c>
      <c r="AC593" s="295" t="e">
        <f t="shared" si="115"/>
        <v>#VALUE!</v>
      </c>
      <c r="AD593" s="296" t="e">
        <f t="shared" si="116"/>
        <v>#VALUE!</v>
      </c>
      <c r="AE593" s="135"/>
      <c r="AF593"/>
    </row>
    <row r="594" spans="28:32" ht="15.75">
      <c r="AB594" s="138" t="str">
        <f t="shared" si="114"/>
        <v>Ripresa in b&amp;n 9x12 e 4"x5"</v>
      </c>
      <c r="AC594" s="295" t="e">
        <f t="shared" si="115"/>
        <v>#VALUE!</v>
      </c>
      <c r="AD594" s="296" t="e">
        <f t="shared" si="116"/>
        <v>#VALUE!</v>
      </c>
      <c r="AE594" s="135"/>
      <c r="AF594"/>
    </row>
    <row r="595" spans="28:32" ht="15.75">
      <c r="AB595" s="138" t="str">
        <f t="shared" si="114"/>
        <v>Ripresa in b&amp;n 13x18</v>
      </c>
      <c r="AC595" s="295" t="e">
        <f t="shared" si="115"/>
        <v>#VALUE!</v>
      </c>
      <c r="AD595" s="296" t="e">
        <f t="shared" si="116"/>
        <v>#VALUE!</v>
      </c>
      <c r="AE595" s="135"/>
      <c r="AF595"/>
    </row>
    <row r="596" spans="28:32" ht="15.75">
      <c r="AB596" s="138" t="str">
        <f t="shared" si="114"/>
        <v>Ripresa in b&amp;n 20x25</v>
      </c>
      <c r="AC596" s="295" t="e">
        <f t="shared" si="115"/>
        <v>#VALUE!</v>
      </c>
      <c r="AD596" s="296" t="e">
        <f t="shared" si="116"/>
        <v>#VALUE!</v>
      </c>
      <c r="AE596" s="135"/>
      <c r="AF596"/>
    </row>
    <row r="597" spans="28:32" ht="15.75">
      <c r="AB597" s="138" t="str">
        <f t="shared" si="114"/>
        <v>Ripresa in neg. col. 135</v>
      </c>
      <c r="AC597" s="295" t="e">
        <f t="shared" si="115"/>
        <v>#VALUE!</v>
      </c>
      <c r="AD597" s="296" t="e">
        <f t="shared" si="116"/>
        <v>#VALUE!</v>
      </c>
      <c r="AE597" s="135"/>
      <c r="AF597"/>
    </row>
    <row r="598" spans="28:32" ht="15.75">
      <c r="AB598" s="138" t="str">
        <f t="shared" si="114"/>
        <v>Ripresa in neg. col.120</v>
      </c>
      <c r="AC598" s="295" t="e">
        <f t="shared" si="115"/>
        <v>#VALUE!</v>
      </c>
      <c r="AD598" s="296" t="e">
        <f t="shared" si="116"/>
        <v>#VALUE!</v>
      </c>
      <c r="AE598" s="135"/>
      <c r="AF598"/>
    </row>
    <row r="599" spans="28:32" ht="15.75">
      <c r="AB599" s="138" t="str">
        <f t="shared" si="114"/>
        <v>Ripresa in neg. col. 6x9</v>
      </c>
      <c r="AC599" s="295" t="e">
        <f t="shared" si="115"/>
        <v>#VALUE!</v>
      </c>
      <c r="AD599" s="296" t="e">
        <f t="shared" si="116"/>
        <v>#VALUE!</v>
      </c>
      <c r="AE599" s="135"/>
      <c r="AF599"/>
    </row>
    <row r="600" spans="28:32" ht="15.75">
      <c r="AB600" s="138" t="str">
        <f t="shared" si="114"/>
        <v>Ripresa in neg. col. 9x12 e 4"x5"</v>
      </c>
      <c r="AC600" s="295" t="e">
        <f t="shared" si="115"/>
        <v>#VALUE!</v>
      </c>
      <c r="AD600" s="296" t="e">
        <f t="shared" si="116"/>
        <v>#VALUE!</v>
      </c>
      <c r="AE600" s="135"/>
      <c r="AF600"/>
    </row>
    <row r="601" spans="28:32" ht="15.75">
      <c r="AB601" s="138" t="str">
        <f t="shared" si="114"/>
        <v>Ripresa in neg. col.13x18</v>
      </c>
      <c r="AC601" s="295" t="e">
        <f t="shared" si="115"/>
        <v>#VALUE!</v>
      </c>
      <c r="AD601" s="296" t="e">
        <f t="shared" si="116"/>
        <v>#VALUE!</v>
      </c>
      <c r="AE601" s="135"/>
      <c r="AF601"/>
    </row>
    <row r="602" spans="28:32" ht="15.75">
      <c r="AB602" s="138" t="str">
        <f t="shared" si="114"/>
        <v>Ripresa in neg. col. 20x25</v>
      </c>
      <c r="AC602" s="295" t="e">
        <f t="shared" si="115"/>
        <v>#VALUE!</v>
      </c>
      <c r="AD602" s="296" t="e">
        <f t="shared" si="116"/>
        <v>#VALUE!</v>
      </c>
      <c r="AE602" s="135"/>
      <c r="AF602"/>
    </row>
    <row r="603" spans="28:32" ht="12.75">
      <c r="AB603" s="132" t="str">
        <f t="shared" si="114"/>
        <v>Stampe da Still-Life piccoli e medi oggetti</v>
      </c>
      <c r="AC603" s="300"/>
      <c r="AD603" s="294">
        <f>IF(Istruzioni!$E$7&lt;&gt;"",Istruzioni!$E$7&amp;" - Confartigianato","")</f>
      </c>
      <c r="AE603" s="129"/>
      <c r="AF603"/>
    </row>
    <row r="604" spans="28:32" ht="15.75">
      <c r="AB604" s="138" t="str">
        <f t="shared" si="114"/>
        <v>Formato 13 x18 b&amp;n</v>
      </c>
      <c r="AC604" s="295" t="e">
        <f aca="true" t="shared" si="117" ref="AC604:AC618">R103</f>
        <v>#VALUE!</v>
      </c>
      <c r="AD604" s="296" t="e">
        <f aca="true" t="shared" si="118" ref="AD604:AD618">V103</f>
        <v>#VALUE!</v>
      </c>
      <c r="AE604" s="135"/>
      <c r="AF604"/>
    </row>
    <row r="605" spans="28:32" ht="15.75">
      <c r="AB605" s="138" t="str">
        <f t="shared" si="114"/>
        <v>Formato 20x25 e 20x30 b&amp;n</v>
      </c>
      <c r="AC605" s="295" t="e">
        <f t="shared" si="117"/>
        <v>#VALUE!</v>
      </c>
      <c r="AD605" s="296" t="e">
        <f t="shared" si="118"/>
        <v>#VALUE!</v>
      </c>
      <c r="AE605" s="135"/>
      <c r="AF605"/>
    </row>
    <row r="606" spans="28:32" ht="15.75">
      <c r="AB606" s="138" t="str">
        <f t="shared" si="114"/>
        <v>Formato 30x40 b&amp;n</v>
      </c>
      <c r="AC606" s="295" t="e">
        <f t="shared" si="117"/>
        <v>#VALUE!</v>
      </c>
      <c r="AD606" s="296" t="e">
        <f t="shared" si="118"/>
        <v>#VALUE!</v>
      </c>
      <c r="AE606" s="135"/>
      <c r="AF606"/>
    </row>
    <row r="607" spans="28:32" ht="15.75">
      <c r="AB607" s="138" t="str">
        <f t="shared" si="114"/>
        <v>Formato 40x50 b&amp;n</v>
      </c>
      <c r="AC607" s="295" t="e">
        <f t="shared" si="117"/>
        <v>#VALUE!</v>
      </c>
      <c r="AD607" s="296" t="e">
        <f t="shared" si="118"/>
        <v>#VALUE!</v>
      </c>
      <c r="AE607" s="135"/>
      <c r="AF607"/>
    </row>
    <row r="608" spans="28:32" ht="15.75">
      <c r="AB608" s="138" t="str">
        <f t="shared" si="114"/>
        <v>Formato 50x70 b&amp;n</v>
      </c>
      <c r="AC608" s="295" t="e">
        <f t="shared" si="117"/>
        <v>#VALUE!</v>
      </c>
      <c r="AD608" s="296" t="e">
        <f t="shared" si="118"/>
        <v>#VALUE!</v>
      </c>
      <c r="AE608" s="135"/>
      <c r="AF608"/>
    </row>
    <row r="609" spans="28:32" ht="15.75">
      <c r="AB609" s="138" t="str">
        <f t="shared" si="114"/>
        <v>Formato 13 x18 Colore</v>
      </c>
      <c r="AC609" s="295" t="e">
        <f t="shared" si="117"/>
        <v>#VALUE!</v>
      </c>
      <c r="AD609" s="296" t="e">
        <f t="shared" si="118"/>
        <v>#VALUE!</v>
      </c>
      <c r="AE609" s="135"/>
      <c r="AF609"/>
    </row>
    <row r="610" spans="28:32" ht="15.75">
      <c r="AB610" s="138" t="str">
        <f t="shared" si="114"/>
        <v>Formato 20x25 e 20x30 Colore</v>
      </c>
      <c r="AC610" s="295" t="e">
        <f t="shared" si="117"/>
        <v>#VALUE!</v>
      </c>
      <c r="AD610" s="296" t="e">
        <f t="shared" si="118"/>
        <v>#VALUE!</v>
      </c>
      <c r="AE610" s="135"/>
      <c r="AF610"/>
    </row>
    <row r="611" spans="28:32" ht="15.75">
      <c r="AB611" s="138" t="str">
        <f t="shared" si="114"/>
        <v>Formato 30x40 Colore</v>
      </c>
      <c r="AC611" s="295" t="e">
        <f t="shared" si="117"/>
        <v>#VALUE!</v>
      </c>
      <c r="AD611" s="296" t="e">
        <f t="shared" si="118"/>
        <v>#VALUE!</v>
      </c>
      <c r="AE611" s="135"/>
      <c r="AF611"/>
    </row>
    <row r="612" spans="28:32" ht="15.75">
      <c r="AB612" s="138" t="str">
        <f t="shared" si="114"/>
        <v>Formato 40x50 Colore</v>
      </c>
      <c r="AC612" s="295" t="e">
        <f t="shared" si="117"/>
        <v>#VALUE!</v>
      </c>
      <c r="AD612" s="296" t="e">
        <f t="shared" si="118"/>
        <v>#VALUE!</v>
      </c>
      <c r="AE612" s="135"/>
      <c r="AF612"/>
    </row>
    <row r="613" spans="28:32" ht="15.75">
      <c r="AB613" s="138" t="str">
        <f t="shared" si="114"/>
        <v>Formato 50x70 Colore</v>
      </c>
      <c r="AC613" s="295" t="e">
        <f t="shared" si="117"/>
        <v>#VALUE!</v>
      </c>
      <c r="AD613" s="296" t="e">
        <f t="shared" si="118"/>
        <v>#VALUE!</v>
      </c>
      <c r="AE613" s="135"/>
      <c r="AF613"/>
    </row>
    <row r="614" spans="28:32" ht="15.75">
      <c r="AB614" s="138" t="str">
        <f t="shared" si="114"/>
        <v>Formato 13 x18 da diapositiva</v>
      </c>
      <c r="AC614" s="295" t="e">
        <f t="shared" si="117"/>
        <v>#VALUE!</v>
      </c>
      <c r="AD614" s="296" t="e">
        <f t="shared" si="118"/>
        <v>#VALUE!</v>
      </c>
      <c r="AE614" s="135"/>
      <c r="AF614"/>
    </row>
    <row r="615" spans="28:32" ht="15.75">
      <c r="AB615" s="138" t="str">
        <f aca="true" t="shared" si="119" ref="AB615:AB646">Q114</f>
        <v>Formato 20x25 e 20x30 da diapositiva</v>
      </c>
      <c r="AC615" s="295" t="e">
        <f t="shared" si="117"/>
        <v>#VALUE!</v>
      </c>
      <c r="AD615" s="296" t="e">
        <f t="shared" si="118"/>
        <v>#VALUE!</v>
      </c>
      <c r="AE615" s="135"/>
      <c r="AF615"/>
    </row>
    <row r="616" spans="28:32" ht="15.75">
      <c r="AB616" s="138" t="str">
        <f t="shared" si="119"/>
        <v>Formato 30x40 da diapositiva</v>
      </c>
      <c r="AC616" s="295" t="e">
        <f t="shared" si="117"/>
        <v>#VALUE!</v>
      </c>
      <c r="AD616" s="296" t="e">
        <f t="shared" si="118"/>
        <v>#VALUE!</v>
      </c>
      <c r="AE616" s="135"/>
      <c r="AF616"/>
    </row>
    <row r="617" spans="28:32" ht="15.75">
      <c r="AB617" s="138" t="str">
        <f t="shared" si="119"/>
        <v>Formato 40x50 da diapositiva</v>
      </c>
      <c r="AC617" s="295" t="e">
        <f t="shared" si="117"/>
        <v>#VALUE!</v>
      </c>
      <c r="AD617" s="296" t="e">
        <f t="shared" si="118"/>
        <v>#VALUE!</v>
      </c>
      <c r="AE617" s="135"/>
      <c r="AF617"/>
    </row>
    <row r="618" spans="28:32" ht="15.75">
      <c r="AB618" s="138" t="str">
        <f t="shared" si="119"/>
        <v>Formato 50x70 da diapositiva</v>
      </c>
      <c r="AC618" s="295" t="e">
        <f t="shared" si="117"/>
        <v>#VALUE!</v>
      </c>
      <c r="AD618" s="296" t="e">
        <f t="shared" si="118"/>
        <v>#VALUE!</v>
      </c>
      <c r="AE618" s="135"/>
      <c r="AF618"/>
    </row>
    <row r="619" spans="28:32" ht="12.75">
      <c r="AB619" s="132" t="str">
        <f t="shared" si="119"/>
        <v>Duplicati da Still-Life</v>
      </c>
      <c r="AC619" s="300"/>
      <c r="AD619" s="294">
        <f>IF(Istruzioni!$E$7&lt;&gt;"",Istruzioni!$E$7&amp;" - Confartigianato","")</f>
      </c>
      <c r="AE619" s="129"/>
      <c r="AF619"/>
    </row>
    <row r="620" spans="28:32" ht="15.75">
      <c r="AB620" s="138" t="str">
        <f t="shared" si="119"/>
        <v>Duplicato b&amp;n 135</v>
      </c>
      <c r="AC620" s="295" t="e">
        <f aca="true" t="shared" si="120" ref="AC620:AC637">R119</f>
        <v>#VALUE!</v>
      </c>
      <c r="AD620" s="296" t="e">
        <f aca="true" t="shared" si="121" ref="AD620:AD637">V119</f>
        <v>#VALUE!</v>
      </c>
      <c r="AE620" s="135"/>
      <c r="AF620"/>
    </row>
    <row r="621" spans="28:32" ht="15.75">
      <c r="AB621" s="138" t="str">
        <f t="shared" si="119"/>
        <v>Duplicato b&amp;n 120</v>
      </c>
      <c r="AC621" s="295" t="e">
        <f t="shared" si="120"/>
        <v>#VALUE!</v>
      </c>
      <c r="AD621" s="296" t="e">
        <f t="shared" si="121"/>
        <v>#VALUE!</v>
      </c>
      <c r="AE621" s="135"/>
      <c r="AF621"/>
    </row>
    <row r="622" spans="28:32" ht="15.75">
      <c r="AB622" s="138" t="str">
        <f t="shared" si="119"/>
        <v>Duplicato b&amp;n 6x9</v>
      </c>
      <c r="AC622" s="295" t="e">
        <f t="shared" si="120"/>
        <v>#VALUE!</v>
      </c>
      <c r="AD622" s="296" t="e">
        <f t="shared" si="121"/>
        <v>#VALUE!</v>
      </c>
      <c r="AE622" s="135"/>
      <c r="AF622"/>
    </row>
    <row r="623" spans="28:32" ht="15.75">
      <c r="AB623" s="138" t="str">
        <f t="shared" si="119"/>
        <v>Duplicato b&amp;n 9x12 e 4"x5"</v>
      </c>
      <c r="AC623" s="295" t="e">
        <f t="shared" si="120"/>
        <v>#VALUE!</v>
      </c>
      <c r="AD623" s="296" t="e">
        <f t="shared" si="121"/>
        <v>#VALUE!</v>
      </c>
      <c r="AE623" s="135"/>
      <c r="AF623"/>
    </row>
    <row r="624" spans="28:32" ht="15.75">
      <c r="AB624" s="138" t="str">
        <f t="shared" si="119"/>
        <v>Duplicato b&amp;n 13x18</v>
      </c>
      <c r="AC624" s="295" t="e">
        <f t="shared" si="120"/>
        <v>#VALUE!</v>
      </c>
      <c r="AD624" s="296" t="e">
        <f t="shared" si="121"/>
        <v>#VALUE!</v>
      </c>
      <c r="AE624" s="135"/>
      <c r="AF624"/>
    </row>
    <row r="625" spans="28:32" ht="15.75">
      <c r="AB625" s="138" t="str">
        <f t="shared" si="119"/>
        <v>Duplicato b&amp;n 20x25</v>
      </c>
      <c r="AC625" s="295" t="e">
        <f t="shared" si="120"/>
        <v>#VALUE!</v>
      </c>
      <c r="AD625" s="296" t="e">
        <f t="shared" si="121"/>
        <v>#VALUE!</v>
      </c>
      <c r="AE625" s="135"/>
      <c r="AF625"/>
    </row>
    <row r="626" spans="28:32" ht="15.75">
      <c r="AB626" s="138" t="str">
        <f t="shared" si="119"/>
        <v>Duplicato neg.col. 135</v>
      </c>
      <c r="AC626" s="295" t="e">
        <f t="shared" si="120"/>
        <v>#VALUE!</v>
      </c>
      <c r="AD626" s="296" t="e">
        <f t="shared" si="121"/>
        <v>#VALUE!</v>
      </c>
      <c r="AE626" s="135"/>
      <c r="AF626"/>
    </row>
    <row r="627" spans="28:32" ht="15.75">
      <c r="AB627" s="138" t="str">
        <f t="shared" si="119"/>
        <v>Duplicato neg.col.120</v>
      </c>
      <c r="AC627" s="295" t="e">
        <f t="shared" si="120"/>
        <v>#VALUE!</v>
      </c>
      <c r="AD627" s="296" t="e">
        <f t="shared" si="121"/>
        <v>#VALUE!</v>
      </c>
      <c r="AE627" s="135"/>
      <c r="AF627"/>
    </row>
    <row r="628" spans="28:32" ht="15.75">
      <c r="AB628" s="138" t="str">
        <f t="shared" si="119"/>
        <v>Duplicato neg.col. 6x9</v>
      </c>
      <c r="AC628" s="295" t="e">
        <f t="shared" si="120"/>
        <v>#VALUE!</v>
      </c>
      <c r="AD628" s="296" t="e">
        <f t="shared" si="121"/>
        <v>#VALUE!</v>
      </c>
      <c r="AE628" s="135"/>
      <c r="AF628"/>
    </row>
    <row r="629" spans="28:32" ht="15.75">
      <c r="AB629" s="138" t="str">
        <f t="shared" si="119"/>
        <v>Duplicato neg.col. 9x12 e 4"x5"</v>
      </c>
      <c r="AC629" s="295" t="e">
        <f t="shared" si="120"/>
        <v>#VALUE!</v>
      </c>
      <c r="AD629" s="296" t="e">
        <f t="shared" si="121"/>
        <v>#VALUE!</v>
      </c>
      <c r="AE629" s="135"/>
      <c r="AF629"/>
    </row>
    <row r="630" spans="28:32" ht="15.75">
      <c r="AB630" s="138" t="str">
        <f t="shared" si="119"/>
        <v>Duplicato neg.col. 13x18</v>
      </c>
      <c r="AC630" s="295" t="e">
        <f t="shared" si="120"/>
        <v>#VALUE!</v>
      </c>
      <c r="AD630" s="296" t="e">
        <f t="shared" si="121"/>
        <v>#VALUE!</v>
      </c>
      <c r="AE630" s="135"/>
      <c r="AF630"/>
    </row>
    <row r="631" spans="28:32" ht="15.75">
      <c r="AB631" s="138" t="str">
        <f t="shared" si="119"/>
        <v>Duplicato neg.col. 20x25</v>
      </c>
      <c r="AC631" s="295" t="e">
        <f t="shared" si="120"/>
        <v>#VALUE!</v>
      </c>
      <c r="AD631" s="296" t="e">
        <f t="shared" si="121"/>
        <v>#VALUE!</v>
      </c>
      <c r="AE631" s="135"/>
      <c r="AF631"/>
    </row>
    <row r="632" spans="28:32" ht="15.75">
      <c r="AB632" s="138" t="str">
        <f t="shared" si="119"/>
        <v>Duplicato diapositiva 135</v>
      </c>
      <c r="AC632" s="295" t="e">
        <f t="shared" si="120"/>
        <v>#VALUE!</v>
      </c>
      <c r="AD632" s="296" t="e">
        <f t="shared" si="121"/>
        <v>#VALUE!</v>
      </c>
      <c r="AE632" s="135"/>
      <c r="AF632"/>
    </row>
    <row r="633" spans="28:32" ht="15.75">
      <c r="AB633" s="138" t="str">
        <f t="shared" si="119"/>
        <v>Duplicato diapositiva120</v>
      </c>
      <c r="AC633" s="295" t="e">
        <f t="shared" si="120"/>
        <v>#VALUE!</v>
      </c>
      <c r="AD633" s="296" t="e">
        <f t="shared" si="121"/>
        <v>#VALUE!</v>
      </c>
      <c r="AE633" s="135"/>
      <c r="AF633"/>
    </row>
    <row r="634" spans="28:32" ht="15.75">
      <c r="AB634" s="138" t="str">
        <f t="shared" si="119"/>
        <v>Duplicato diapositiva 6x9</v>
      </c>
      <c r="AC634" s="295" t="e">
        <f t="shared" si="120"/>
        <v>#VALUE!</v>
      </c>
      <c r="AD634" s="296" t="e">
        <f t="shared" si="121"/>
        <v>#VALUE!</v>
      </c>
      <c r="AE634" s="135"/>
      <c r="AF634"/>
    </row>
    <row r="635" spans="28:32" ht="15.75">
      <c r="AB635" s="138" t="str">
        <f t="shared" si="119"/>
        <v>Duplicato diapositiva 9x12 e 4"x5"</v>
      </c>
      <c r="AC635" s="295" t="e">
        <f t="shared" si="120"/>
        <v>#VALUE!</v>
      </c>
      <c r="AD635" s="296" t="e">
        <f t="shared" si="121"/>
        <v>#VALUE!</v>
      </c>
      <c r="AE635" s="135"/>
      <c r="AF635"/>
    </row>
    <row r="636" spans="28:32" ht="15.75">
      <c r="AB636" s="138" t="str">
        <f t="shared" si="119"/>
        <v>Duplicato diapositiva 13x18</v>
      </c>
      <c r="AC636" s="295" t="e">
        <f t="shared" si="120"/>
        <v>#VALUE!</v>
      </c>
      <c r="AD636" s="296" t="e">
        <f t="shared" si="121"/>
        <v>#VALUE!</v>
      </c>
      <c r="AE636" s="135"/>
      <c r="AF636"/>
    </row>
    <row r="637" spans="28:32" ht="15.75">
      <c r="AB637" s="138" t="str">
        <f t="shared" si="119"/>
        <v>Duplicato diapositiva 20x25</v>
      </c>
      <c r="AC637" s="295" t="e">
        <f t="shared" si="120"/>
        <v>#VALUE!</v>
      </c>
      <c r="AD637" s="296" t="e">
        <f t="shared" si="121"/>
        <v>#VALUE!</v>
      </c>
      <c r="AE637" s="135"/>
      <c r="AF637"/>
    </row>
    <row r="638" spans="28:32" ht="18.75">
      <c r="AB638" s="134">
        <f t="shared" si="119"/>
      </c>
      <c r="AC638" s="300"/>
      <c r="AD638" s="301"/>
      <c r="AE638" s="131"/>
      <c r="AF638"/>
    </row>
    <row r="639" spans="28:32" ht="12.75">
      <c r="AB639" s="132" t="str">
        <f t="shared" si="119"/>
        <v>Servizi di Attualità (spese uscita)</v>
      </c>
      <c r="AC639" s="300"/>
      <c r="AD639" s="294">
        <f>IF(Istruzioni!$E$7&lt;&gt;"",Istruzioni!$E$7&amp;" - Confartigianato","")</f>
      </c>
      <c r="AE639" s="129"/>
      <c r="AF639"/>
    </row>
    <row r="640" spans="28:32" ht="15.75">
      <c r="AB640" s="138" t="str">
        <f t="shared" si="119"/>
        <v>Uscita operatore</v>
      </c>
      <c r="AC640" s="295" t="e">
        <f aca="true" t="shared" si="122" ref="AC640:AC645">R139</f>
        <v>#VALUE!</v>
      </c>
      <c r="AD640" s="296" t="e">
        <f aca="true" t="shared" si="123" ref="AD640:AD645">V139</f>
        <v>#VALUE!</v>
      </c>
      <c r="AE640" s="135"/>
      <c r="AF640"/>
    </row>
    <row r="641" spans="28:32" ht="15.75">
      <c r="AB641" s="138" t="str">
        <f t="shared" si="119"/>
        <v>Uscita operatore ora successiva</v>
      </c>
      <c r="AC641" s="295" t="e">
        <f t="shared" si="122"/>
        <v>#VALUE!</v>
      </c>
      <c r="AD641" s="296" t="e">
        <f t="shared" si="123"/>
        <v>#VALUE!</v>
      </c>
      <c r="AE641" s="135"/>
      <c r="AF641"/>
    </row>
    <row r="642" spans="28:32" ht="15.75">
      <c r="AB642" s="138" t="str">
        <f t="shared" si="119"/>
        <v>Fuori orario</v>
      </c>
      <c r="AC642" s="295" t="e">
        <f t="shared" si="122"/>
        <v>#VALUE!</v>
      </c>
      <c r="AD642" s="296" t="e">
        <f t="shared" si="123"/>
        <v>#VALUE!</v>
      </c>
      <c r="AE642" s="135"/>
      <c r="AF642"/>
    </row>
    <row r="643" spans="28:32" ht="15.75">
      <c r="AB643" s="138" t="str">
        <f t="shared" si="119"/>
        <v>Orario festivo</v>
      </c>
      <c r="AC643" s="295" t="e">
        <f t="shared" si="122"/>
        <v>#VALUE!</v>
      </c>
      <c r="AD643" s="296" t="e">
        <f t="shared" si="123"/>
        <v>#VALUE!</v>
      </c>
      <c r="AE643" s="135"/>
      <c r="AF643"/>
    </row>
    <row r="644" spans="28:32" ht="15.75">
      <c r="AB644" s="138" t="str">
        <f t="shared" si="119"/>
        <v>Spesa al Km automezzo nel comune</v>
      </c>
      <c r="AC644" s="295" t="e">
        <f t="shared" si="122"/>
        <v>#VALUE!</v>
      </c>
      <c r="AD644" s="296" t="e">
        <f t="shared" si="123"/>
        <v>#VALUE!</v>
      </c>
      <c r="AE644" s="135"/>
      <c r="AF644"/>
    </row>
    <row r="645" spans="28:32" ht="15.75">
      <c r="AB645" s="138" t="str">
        <f t="shared" si="119"/>
        <v>Spesa al Km automezzo fuori comune</v>
      </c>
      <c r="AC645" s="295" t="e">
        <f t="shared" si="122"/>
        <v>#VALUE!</v>
      </c>
      <c r="AD645" s="296" t="e">
        <f t="shared" si="123"/>
        <v>#VALUE!</v>
      </c>
      <c r="AE645" s="135"/>
      <c r="AF645"/>
    </row>
    <row r="646" spans="28:32" ht="12.75">
      <c r="AB646" s="132" t="str">
        <f t="shared" si="119"/>
        <v>Servizi di Attualità</v>
      </c>
      <c r="AC646" s="300"/>
      <c r="AD646" s="294">
        <f>IF(Istruzioni!$E$7&lt;&gt;"",Istruzioni!$E$7&amp;" - Confartigianato","")</f>
      </c>
      <c r="AE646" s="129"/>
      <c r="AF646"/>
    </row>
    <row r="647" spans="28:32" ht="15.75">
      <c r="AB647" s="138" t="str">
        <f aca="true" t="shared" si="124" ref="AB647:AB678">Q146</f>
        <v>Ripresa con 20 provini 135 b&amp;n</v>
      </c>
      <c r="AC647" s="295" t="e">
        <f aca="true" t="shared" si="125" ref="AC647:AC655">R146</f>
        <v>#VALUE!</v>
      </c>
      <c r="AD647" s="296" t="e">
        <f aca="true" t="shared" si="126" ref="AD647:AD655">V146</f>
        <v>#VALUE!</v>
      </c>
      <c r="AE647" s="135"/>
      <c r="AF647"/>
    </row>
    <row r="648" spans="28:32" ht="15.75">
      <c r="AB648" s="138" t="str">
        <f t="shared" si="124"/>
        <v>Ripresa con 12 provini 120 b&amp;n </v>
      </c>
      <c r="AC648" s="295" t="e">
        <f t="shared" si="125"/>
        <v>#VALUE!</v>
      </c>
      <c r="AD648" s="296" t="e">
        <f t="shared" si="126"/>
        <v>#VALUE!</v>
      </c>
      <c r="AE648" s="135"/>
      <c r="AF648"/>
    </row>
    <row r="649" spans="28:32" ht="15.75">
      <c r="AB649" s="138" t="str">
        <f t="shared" si="124"/>
        <v>Ripresa b&amp;n  9x12 e 4"x5"</v>
      </c>
      <c r="AC649" s="295" t="e">
        <f t="shared" si="125"/>
        <v>#VALUE!</v>
      </c>
      <c r="AD649" s="296" t="e">
        <f t="shared" si="126"/>
        <v>#VALUE!</v>
      </c>
      <c r="AE649" s="135"/>
      <c r="AF649"/>
    </row>
    <row r="650" spans="28:32" ht="15.75">
      <c r="AB650" s="138" t="str">
        <f t="shared" si="124"/>
        <v>Ripresa b&amp;n 13x18</v>
      </c>
      <c r="AC650" s="295" t="e">
        <f t="shared" si="125"/>
        <v>#VALUE!</v>
      </c>
      <c r="AD650" s="296" t="e">
        <f t="shared" si="126"/>
        <v>#VALUE!</v>
      </c>
      <c r="AE650" s="135"/>
      <c r="AF650"/>
    </row>
    <row r="651" spans="28:32" ht="15.75">
      <c r="AB651" s="138" t="str">
        <f t="shared" si="124"/>
        <v>Ripresa con 20 provini 135 neg. col. </v>
      </c>
      <c r="AC651" s="295" t="e">
        <f t="shared" si="125"/>
        <v>#VALUE!</v>
      </c>
      <c r="AD651" s="296" t="e">
        <f t="shared" si="126"/>
        <v>#VALUE!</v>
      </c>
      <c r="AE651" s="135"/>
      <c r="AF651"/>
    </row>
    <row r="652" spans="28:32" ht="15.75">
      <c r="AB652" s="138" t="str">
        <f t="shared" si="124"/>
        <v>Ripresa con 12 provini 120 neg. col. </v>
      </c>
      <c r="AC652" s="295" t="e">
        <f t="shared" si="125"/>
        <v>#VALUE!</v>
      </c>
      <c r="AD652" s="296" t="e">
        <f t="shared" si="126"/>
        <v>#VALUE!</v>
      </c>
      <c r="AE652" s="135"/>
      <c r="AF652"/>
    </row>
    <row r="653" spans="28:32" ht="15.75">
      <c r="AB653" s="138" t="str">
        <f t="shared" si="124"/>
        <v>Ripresa con 24 provini 220 neg. col.</v>
      </c>
      <c r="AC653" s="295" t="e">
        <f t="shared" si="125"/>
        <v>#VALUE!</v>
      </c>
      <c r="AD653" s="296" t="e">
        <f t="shared" si="126"/>
        <v>#VALUE!</v>
      </c>
      <c r="AE653" s="135"/>
      <c r="AF653"/>
    </row>
    <row r="654" spans="28:32" ht="15.75">
      <c r="AB654" s="138" t="str">
        <f t="shared" si="124"/>
        <v>Ripresa neg. col.  9x12 e 4"x5"</v>
      </c>
      <c r="AC654" s="295" t="e">
        <f t="shared" si="125"/>
        <v>#VALUE!</v>
      </c>
      <c r="AD654" s="296" t="e">
        <f t="shared" si="126"/>
        <v>#VALUE!</v>
      </c>
      <c r="AE654" s="135"/>
      <c r="AF654"/>
    </row>
    <row r="655" spans="28:32" ht="15.75">
      <c r="AB655" s="138" t="str">
        <f t="shared" si="124"/>
        <v>Ripresa neg. col. 13x18</v>
      </c>
      <c r="AC655" s="295" t="e">
        <f t="shared" si="125"/>
        <v>#VALUE!</v>
      </c>
      <c r="AD655" s="296" t="e">
        <f t="shared" si="126"/>
        <v>#VALUE!</v>
      </c>
      <c r="AE655" s="135"/>
      <c r="AF655"/>
    </row>
    <row r="656" spans="28:32" ht="12.75">
      <c r="AB656" s="132" t="str">
        <f t="shared" si="124"/>
        <v>Stampe in Esterni</v>
      </c>
      <c r="AC656" s="300"/>
      <c r="AD656" s="294">
        <f>IF(Istruzioni!$E$7&lt;&gt;"",Istruzioni!$E$7&amp;" - Confartigianato","")</f>
      </c>
      <c r="AE656" s="129"/>
      <c r="AF656"/>
    </row>
    <row r="657" spans="28:32" ht="15.75">
      <c r="AB657" s="138" t="str">
        <f t="shared" si="124"/>
        <v>Formato 13 x18 b&amp;n</v>
      </c>
      <c r="AC657" s="295" t="e">
        <f aca="true" t="shared" si="127" ref="AC657:AC666">R156</f>
        <v>#VALUE!</v>
      </c>
      <c r="AD657" s="296" t="e">
        <f aca="true" t="shared" si="128" ref="AD657:AD666">V156</f>
        <v>#VALUE!</v>
      </c>
      <c r="AE657" s="135"/>
      <c r="AF657"/>
    </row>
    <row r="658" spans="28:32" ht="15.75">
      <c r="AB658" s="138" t="str">
        <f t="shared" si="124"/>
        <v>Formato 20x25 e 20x30 b&amp;n</v>
      </c>
      <c r="AC658" s="295" t="e">
        <f t="shared" si="127"/>
        <v>#VALUE!</v>
      </c>
      <c r="AD658" s="296" t="e">
        <f t="shared" si="128"/>
        <v>#VALUE!</v>
      </c>
      <c r="AE658" s="135"/>
      <c r="AF658"/>
    </row>
    <row r="659" spans="28:32" ht="15.75">
      <c r="AB659" s="138" t="str">
        <f t="shared" si="124"/>
        <v>Formato 30x40 b&amp;n</v>
      </c>
      <c r="AC659" s="295" t="e">
        <f t="shared" si="127"/>
        <v>#VALUE!</v>
      </c>
      <c r="AD659" s="296" t="e">
        <f t="shared" si="128"/>
        <v>#VALUE!</v>
      </c>
      <c r="AE659" s="135"/>
      <c r="AF659"/>
    </row>
    <row r="660" spans="28:32" ht="15.75">
      <c r="AB660" s="138" t="str">
        <f t="shared" si="124"/>
        <v>Formato 40x50 b&amp;n</v>
      </c>
      <c r="AC660" s="295" t="e">
        <f t="shared" si="127"/>
        <v>#VALUE!</v>
      </c>
      <c r="AD660" s="296" t="e">
        <f t="shared" si="128"/>
        <v>#VALUE!</v>
      </c>
      <c r="AE660" s="135"/>
      <c r="AF660"/>
    </row>
    <row r="661" spans="28:32" ht="15.75">
      <c r="AB661" s="138" t="str">
        <f t="shared" si="124"/>
        <v>Formato 50x70 b&amp;n</v>
      </c>
      <c r="AC661" s="295" t="e">
        <f t="shared" si="127"/>
        <v>#VALUE!</v>
      </c>
      <c r="AD661" s="296" t="e">
        <f t="shared" si="128"/>
        <v>#VALUE!</v>
      </c>
      <c r="AE661" s="135"/>
      <c r="AF661"/>
    </row>
    <row r="662" spans="28:32" ht="15.75">
      <c r="AB662" s="138" t="str">
        <f t="shared" si="124"/>
        <v>Formato 13 x18  colore</v>
      </c>
      <c r="AC662" s="295" t="e">
        <f t="shared" si="127"/>
        <v>#VALUE!</v>
      </c>
      <c r="AD662" s="296" t="e">
        <f t="shared" si="128"/>
        <v>#VALUE!</v>
      </c>
      <c r="AE662" s="135"/>
      <c r="AF662"/>
    </row>
    <row r="663" spans="28:32" ht="15.75">
      <c r="AB663" s="138" t="str">
        <f t="shared" si="124"/>
        <v>Formato 20x25 e 20x30  colore</v>
      </c>
      <c r="AC663" s="295" t="e">
        <f t="shared" si="127"/>
        <v>#VALUE!</v>
      </c>
      <c r="AD663" s="296" t="e">
        <f t="shared" si="128"/>
        <v>#VALUE!</v>
      </c>
      <c r="AE663" s="135"/>
      <c r="AF663"/>
    </row>
    <row r="664" spans="28:32" ht="15.75">
      <c r="AB664" s="138" t="str">
        <f t="shared" si="124"/>
        <v>Formato 30x40  colore</v>
      </c>
      <c r="AC664" s="295" t="e">
        <f t="shared" si="127"/>
        <v>#VALUE!</v>
      </c>
      <c r="AD664" s="296" t="e">
        <f t="shared" si="128"/>
        <v>#VALUE!</v>
      </c>
      <c r="AE664" s="135"/>
      <c r="AF664"/>
    </row>
    <row r="665" spans="28:32" ht="15.75">
      <c r="AB665" s="138" t="str">
        <f t="shared" si="124"/>
        <v>Formato 40x50  colore</v>
      </c>
      <c r="AC665" s="295" t="e">
        <f t="shared" si="127"/>
        <v>#VALUE!</v>
      </c>
      <c r="AD665" s="296" t="e">
        <f t="shared" si="128"/>
        <v>#VALUE!</v>
      </c>
      <c r="AE665" s="135"/>
      <c r="AF665"/>
    </row>
    <row r="666" spans="28:32" ht="15.75">
      <c r="AB666" s="138" t="str">
        <f t="shared" si="124"/>
        <v>Formato 50x70  colore</v>
      </c>
      <c r="AC666" s="295" t="e">
        <f t="shared" si="127"/>
        <v>#VALUE!</v>
      </c>
      <c r="AD666" s="296" t="e">
        <f t="shared" si="128"/>
        <v>#VALUE!</v>
      </c>
      <c r="AE666" s="135"/>
      <c r="AF666"/>
    </row>
    <row r="667" spans="28:32" ht="12.75">
      <c r="AB667" s="132" t="str">
        <f t="shared" si="124"/>
        <v>Matrimoni e Cerimonie - 1^Stampa</v>
      </c>
      <c r="AC667" s="300"/>
      <c r="AD667" s="294">
        <f>IF(Istruzioni!$E$7&lt;&gt;"",Istruzioni!$E$7&amp;" - Confartigianato","")</f>
      </c>
      <c r="AE667" s="129"/>
      <c r="AF667"/>
    </row>
    <row r="668" spans="28:32" ht="15.75">
      <c r="AB668" s="138" t="str">
        <f t="shared" si="124"/>
        <v>Ripresa Matrimonio</v>
      </c>
      <c r="AC668" s="295" t="e">
        <f aca="true" t="shared" si="129" ref="AC668:AC678">R167</f>
        <v>#VALUE!</v>
      </c>
      <c r="AD668" s="296" t="e">
        <f aca="true" t="shared" si="130" ref="AD668:AD678">V167</f>
        <v>#VALUE!</v>
      </c>
      <c r="AE668" s="135"/>
      <c r="AF668"/>
    </row>
    <row r="669" spans="28:32" ht="15.75">
      <c r="AB669" s="138" t="str">
        <f t="shared" si="124"/>
        <v>Ripresa Battesimo</v>
      </c>
      <c r="AC669" s="295" t="e">
        <f t="shared" si="129"/>
        <v>#VALUE!</v>
      </c>
      <c r="AD669" s="296" t="e">
        <f t="shared" si="130"/>
        <v>#VALUE!</v>
      </c>
      <c r="AE669" s="135"/>
      <c r="AF669"/>
    </row>
    <row r="670" spans="28:32" ht="15.75">
      <c r="AB670" s="138" t="str">
        <f t="shared" si="124"/>
        <v>Ripresa Comunione/Cresima</v>
      </c>
      <c r="AC670" s="295" t="e">
        <f t="shared" si="129"/>
        <v>#VALUE!</v>
      </c>
      <c r="AD670" s="296" t="e">
        <f t="shared" si="130"/>
        <v>#VALUE!</v>
      </c>
      <c r="AE670" s="135"/>
      <c r="AF670"/>
    </row>
    <row r="671" spans="28:32" ht="15.75">
      <c r="AB671" s="138" t="str">
        <f t="shared" si="124"/>
        <v>Ripresa Attualità Generico</v>
      </c>
      <c r="AC671" s="295" t="e">
        <f t="shared" si="129"/>
        <v>#VALUE!</v>
      </c>
      <c r="AD671" s="296" t="e">
        <f t="shared" si="130"/>
        <v>#VALUE!</v>
      </c>
      <c r="AE671" s="135"/>
      <c r="AF671"/>
    </row>
    <row r="672" spans="28:32" ht="15.75">
      <c r="AB672" s="138" t="str">
        <f t="shared" si="124"/>
        <v>Stampa fino al Formato 13x18</v>
      </c>
      <c r="AC672" s="295" t="e">
        <f t="shared" si="129"/>
        <v>#VALUE!</v>
      </c>
      <c r="AD672" s="296" t="e">
        <f t="shared" si="130"/>
        <v>#VALUE!</v>
      </c>
      <c r="AE672" s="135"/>
      <c r="AF672"/>
    </row>
    <row r="673" spans="28:32" ht="15.75">
      <c r="AB673" s="138" t="str">
        <f t="shared" si="124"/>
        <v>Stampa Formato 20x25 e 20x30</v>
      </c>
      <c r="AC673" s="295" t="e">
        <f t="shared" si="129"/>
        <v>#VALUE!</v>
      </c>
      <c r="AD673" s="296" t="e">
        <f t="shared" si="130"/>
        <v>#VALUE!</v>
      </c>
      <c r="AE673" s="135"/>
      <c r="AF673"/>
    </row>
    <row r="674" spans="28:32" ht="15.75">
      <c r="AB674" s="138" t="str">
        <f t="shared" si="124"/>
        <v>Stampa Formato 24x24</v>
      </c>
      <c r="AC674" s="295" t="e">
        <f t="shared" si="129"/>
        <v>#VALUE!</v>
      </c>
      <c r="AD674" s="296" t="e">
        <f t="shared" si="130"/>
        <v>#VALUE!</v>
      </c>
      <c r="AE674" s="135"/>
      <c r="AF674"/>
    </row>
    <row r="675" spans="28:32" ht="15.75">
      <c r="AB675" s="138" t="str">
        <f t="shared" si="124"/>
        <v>Stampa Formato 24x30</v>
      </c>
      <c r="AC675" s="295" t="e">
        <f t="shared" si="129"/>
        <v>#VALUE!</v>
      </c>
      <c r="AD675" s="296" t="e">
        <f t="shared" si="130"/>
        <v>#VALUE!</v>
      </c>
      <c r="AE675" s="135"/>
      <c r="AF675"/>
    </row>
    <row r="676" spans="28:32" ht="15.75">
      <c r="AB676" s="138" t="str">
        <f t="shared" si="124"/>
        <v>Stampa Formato 30x30 e 30x45</v>
      </c>
      <c r="AC676" s="295" t="e">
        <f t="shared" si="129"/>
        <v>#VALUE!</v>
      </c>
      <c r="AD676" s="296" t="e">
        <f t="shared" si="130"/>
        <v>#VALUE!</v>
      </c>
      <c r="AE676" s="135"/>
      <c r="AF676"/>
    </row>
    <row r="677" spans="28:32" ht="15.75">
      <c r="AB677" s="138" t="str">
        <f t="shared" si="124"/>
        <v>Stampa Formato 40x40</v>
      </c>
      <c r="AC677" s="295" t="e">
        <f t="shared" si="129"/>
        <v>#VALUE!</v>
      </c>
      <c r="AD677" s="296" t="e">
        <f t="shared" si="130"/>
        <v>#VALUE!</v>
      </c>
      <c r="AE677" s="135"/>
      <c r="AF677"/>
    </row>
    <row r="678" spans="28:32" ht="15.75">
      <c r="AB678" s="138" t="str">
        <f t="shared" si="124"/>
        <v>Stampa Formato 50x70</v>
      </c>
      <c r="AC678" s="295" t="e">
        <f t="shared" si="129"/>
        <v>#VALUE!</v>
      </c>
      <c r="AD678" s="296" t="e">
        <f t="shared" si="130"/>
        <v>#VALUE!</v>
      </c>
      <c r="AE678" s="135"/>
      <c r="AF678"/>
    </row>
    <row r="679" spans="28:32" ht="12.75">
      <c r="AB679" s="132" t="str">
        <f aca="true" t="shared" si="131" ref="AB679:AB693">Q178</f>
        <v>Matrimoni e Cerimonie - 2^Stampa</v>
      </c>
      <c r="AC679" s="300"/>
      <c r="AD679" s="294">
        <f>IF(Istruzioni!$E$7&lt;&gt;"",Istruzioni!$E$7&amp;" - Confartigianato","")</f>
      </c>
      <c r="AE679" s="129"/>
      <c r="AF679"/>
    </row>
    <row r="680" spans="28:32" ht="15.75">
      <c r="AB680" s="138" t="str">
        <f t="shared" si="131"/>
        <v>Ristampe Formato 13x18 e 13x20</v>
      </c>
      <c r="AC680" s="295" t="e">
        <f aca="true" t="shared" si="132" ref="AC680:AC686">R179</f>
        <v>#VALUE!</v>
      </c>
      <c r="AD680" s="296" t="e">
        <f aca="true" t="shared" si="133" ref="AD680:AD686">V179</f>
        <v>#VALUE!</v>
      </c>
      <c r="AE680" s="135"/>
      <c r="AF680"/>
    </row>
    <row r="681" spans="28:32" ht="15.75">
      <c r="AB681" s="138" t="str">
        <f t="shared" si="131"/>
        <v>Ristampe Formato 20x25 e 20x30</v>
      </c>
      <c r="AC681" s="295" t="e">
        <f t="shared" si="132"/>
        <v>#VALUE!</v>
      </c>
      <c r="AD681" s="296" t="e">
        <f t="shared" si="133"/>
        <v>#VALUE!</v>
      </c>
      <c r="AE681" s="135"/>
      <c r="AF681"/>
    </row>
    <row r="682" spans="28:32" ht="15.75">
      <c r="AB682" s="138" t="str">
        <f t="shared" si="131"/>
        <v>Ristampe Formato 24x24</v>
      </c>
      <c r="AC682" s="295" t="e">
        <f t="shared" si="132"/>
        <v>#VALUE!</v>
      </c>
      <c r="AD682" s="296" t="e">
        <f t="shared" si="133"/>
        <v>#VALUE!</v>
      </c>
      <c r="AE682" s="135"/>
      <c r="AF682"/>
    </row>
    <row r="683" spans="28:32" ht="15.75">
      <c r="AB683" s="138" t="str">
        <f t="shared" si="131"/>
        <v>Ristampe Formato 24x30</v>
      </c>
      <c r="AC683" s="295" t="e">
        <f t="shared" si="132"/>
        <v>#VALUE!</v>
      </c>
      <c r="AD683" s="296" t="e">
        <f t="shared" si="133"/>
        <v>#VALUE!</v>
      </c>
      <c r="AE683" s="135"/>
      <c r="AF683"/>
    </row>
    <row r="684" spans="28:32" ht="15.75">
      <c r="AB684" s="138" t="str">
        <f t="shared" si="131"/>
        <v>Ristampe Formato 30x30 e 30x45</v>
      </c>
      <c r="AC684" s="295" t="e">
        <f t="shared" si="132"/>
        <v>#VALUE!</v>
      </c>
      <c r="AD684" s="296" t="e">
        <f t="shared" si="133"/>
        <v>#VALUE!</v>
      </c>
      <c r="AE684" s="135"/>
      <c r="AF684"/>
    </row>
    <row r="685" spans="28:32" ht="15.75">
      <c r="AB685" s="138" t="str">
        <f t="shared" si="131"/>
        <v>Ristampe Formato 40x40</v>
      </c>
      <c r="AC685" s="295" t="e">
        <f t="shared" si="132"/>
        <v>#VALUE!</v>
      </c>
      <c r="AD685" s="296" t="e">
        <f t="shared" si="133"/>
        <v>#VALUE!</v>
      </c>
      <c r="AE685" s="135"/>
      <c r="AF685"/>
    </row>
    <row r="686" spans="28:32" ht="15.75">
      <c r="AB686" s="138" t="str">
        <f t="shared" si="131"/>
        <v>Ristampe Formato 50x70</v>
      </c>
      <c r="AC686" s="295" t="e">
        <f t="shared" si="132"/>
        <v>#VALUE!</v>
      </c>
      <c r="AD686" s="296" t="e">
        <f t="shared" si="133"/>
        <v>#VALUE!</v>
      </c>
      <c r="AE686" s="135"/>
      <c r="AF686"/>
    </row>
    <row r="687" spans="28:32" ht="12.75">
      <c r="AB687" s="132" t="str">
        <f t="shared" si="131"/>
        <v>Lavorazioni Generiche</v>
      </c>
      <c r="AC687" s="300"/>
      <c r="AD687" s="294">
        <f>IF(Istruzioni!$E$7&lt;&gt;"",Istruzioni!$E$7&amp;" - Confartigianato","")</f>
      </c>
      <c r="AE687" s="129"/>
      <c r="AF687"/>
    </row>
    <row r="688" spans="28:32" ht="15.75">
      <c r="AB688" s="138" t="str">
        <f t="shared" si="131"/>
        <v>Ripresa Standard Generica</v>
      </c>
      <c r="AC688" s="295" t="e">
        <f aca="true" t="shared" si="134" ref="AC688:AC693">R187</f>
        <v>#VALUE!</v>
      </c>
      <c r="AD688" s="296" t="e">
        <f aca="true" t="shared" si="135" ref="AD688:AD693">V187</f>
        <v>#VALUE!</v>
      </c>
      <c r="AE688" s="135"/>
      <c r="AF688"/>
    </row>
    <row r="689" spans="28:32" ht="15.75">
      <c r="AB689" s="138" t="str">
        <f t="shared" si="131"/>
        <v>Ripresa in Formato 135</v>
      </c>
      <c r="AC689" s="295" t="e">
        <f t="shared" si="134"/>
        <v>#VALUE!</v>
      </c>
      <c r="AD689" s="296" t="e">
        <f t="shared" si="135"/>
        <v>#VALUE!</v>
      </c>
      <c r="AE689" s="135"/>
      <c r="AF689"/>
    </row>
    <row r="690" spans="28:32" ht="15.75">
      <c r="AB690" s="138" t="str">
        <f t="shared" si="131"/>
        <v>Ripresa in Formato 6x6</v>
      </c>
      <c r="AC690" s="295" t="e">
        <f t="shared" si="134"/>
        <v>#VALUE!</v>
      </c>
      <c r="AD690" s="296" t="e">
        <f t="shared" si="135"/>
        <v>#VALUE!</v>
      </c>
      <c r="AE690" s="135"/>
      <c r="AF690"/>
    </row>
    <row r="691" spans="28:32" ht="15.75">
      <c r="AB691" s="138" t="str">
        <f t="shared" si="131"/>
        <v>Ripresa in Formato 6x9</v>
      </c>
      <c r="AC691" s="295" t="e">
        <f t="shared" si="134"/>
        <v>#VALUE!</v>
      </c>
      <c r="AD691" s="296" t="e">
        <f t="shared" si="135"/>
        <v>#VALUE!</v>
      </c>
      <c r="AE691" s="135"/>
      <c r="AF691"/>
    </row>
    <row r="692" spans="28:32" ht="15.75">
      <c r="AB692" s="138" t="str">
        <f t="shared" si="131"/>
        <v>Fotobiglietti Colore  min. 10</v>
      </c>
      <c r="AC692" s="295" t="e">
        <f t="shared" si="134"/>
        <v>#VALUE!</v>
      </c>
      <c r="AD692" s="296" t="e">
        <f t="shared" si="135"/>
        <v>#VALUE!</v>
      </c>
      <c r="AE692" s="135"/>
      <c r="AF692"/>
    </row>
    <row r="693" spans="28:31" ht="15.75">
      <c r="AB693" s="138" t="str">
        <f t="shared" si="131"/>
        <v>Ristampa fotobiglietti colore</v>
      </c>
      <c r="AC693" s="295" t="e">
        <f t="shared" si="134"/>
        <v>#VALUE!</v>
      </c>
      <c r="AD693" s="296" t="e">
        <f t="shared" si="135"/>
        <v>#VALUE!</v>
      </c>
      <c r="AE693" s="135"/>
    </row>
  </sheetData>
  <sheetProtection password="DC65" sheet="1" objects="1" scenarios="1"/>
  <printOptions/>
  <pageMargins left="1.31" right="0.5511811023622047" top="0.42" bottom="0.42" header="0.25" footer="0.24"/>
  <pageSetup orientation="landscape" paperSize="9" scale="75" r:id="rId2"/>
  <headerFooter alignWithMargins="0">
    <oddHeader>&amp;CStampa Prontuario in data: 21.59.32</oddHeader>
    <oddFooter>&amp;Cpag. &amp;P</oddFooter>
  </headerFooter>
  <legacyDrawing r:id="rId1"/>
</worksheet>
</file>

<file path=xl/worksheets/sheet3.xml><?xml version="1.0" encoding="utf-8"?>
<worksheet xmlns="http://schemas.openxmlformats.org/spreadsheetml/2006/main" xmlns:r="http://schemas.openxmlformats.org/officeDocument/2006/relationships">
  <sheetPr codeName="Foglio3"/>
  <dimension ref="A1:W60"/>
  <sheetViews>
    <sheetView showRowColHeaders="0" zoomScale="75" zoomScaleNormal="75" workbookViewId="0" topLeftCell="A1">
      <selection activeCell="B15" sqref="B15"/>
    </sheetView>
  </sheetViews>
  <sheetFormatPr defaultColWidth="9.00390625" defaultRowHeight="12.75"/>
  <cols>
    <col min="1" max="1" width="33.75390625" style="177" customWidth="1"/>
    <col min="2" max="2" width="17.00390625" style="177" customWidth="1"/>
    <col min="3" max="3" width="20.875" style="177" customWidth="1"/>
    <col min="4" max="4" width="10.75390625" style="177" customWidth="1"/>
    <col min="5" max="5" width="12.375" style="177" customWidth="1"/>
    <col min="6" max="6" width="11.25390625" style="176" customWidth="1"/>
    <col min="7" max="7" width="10.875" style="176" bestFit="1" customWidth="1"/>
    <col min="8" max="23" width="10.75390625" style="176" customWidth="1"/>
    <col min="24" max="16384" width="10.75390625" style="177" customWidth="1"/>
  </cols>
  <sheetData>
    <row r="1" spans="1:5" ht="12.75">
      <c r="A1" s="171" t="s">
        <v>163</v>
      </c>
      <c r="B1" s="172">
        <f>IF(Istruzioni!$E$7="","",IF(B15="std",E17,B17))</f>
      </c>
      <c r="C1" s="173"/>
      <c r="D1" s="174"/>
      <c r="E1" s="175"/>
    </row>
    <row r="2" spans="1:5" ht="12.75">
      <c r="A2" s="171" t="s">
        <v>164</v>
      </c>
      <c r="B2" s="178" t="e">
        <f>B3+B4+B9+B10</f>
        <v>#VALUE!</v>
      </c>
      <c r="C2" s="179" t="e">
        <f>B2/B1</f>
        <v>#VALUE!</v>
      </c>
      <c r="D2" s="180" t="s">
        <v>165</v>
      </c>
      <c r="E2" s="181"/>
    </row>
    <row r="3" spans="1:5" ht="12.75">
      <c r="A3" s="182" t="s">
        <v>166</v>
      </c>
      <c r="B3" s="183">
        <f>IF(Istruzioni!$E$7="","",IF(B15="std",E19,B19))</f>
      </c>
      <c r="C3" s="184" t="e">
        <f>Costi_Fissi/B1</f>
        <v>#VALUE!</v>
      </c>
      <c r="D3" s="185" t="s">
        <v>165</v>
      </c>
      <c r="E3" s="181"/>
    </row>
    <row r="4" spans="1:5" ht="12.75">
      <c r="A4" s="186" t="s">
        <v>167</v>
      </c>
      <c r="B4" s="183">
        <f>IF(Istruzioni!$E$7="","",IF(B15="std",E20,B20))</f>
      </c>
      <c r="C4" s="184" t="e">
        <f>Costi_Variabili/B1</f>
        <v>#VALUE!</v>
      </c>
      <c r="D4" s="185" t="s">
        <v>165</v>
      </c>
      <c r="E4" s="181"/>
    </row>
    <row r="5" spans="1:5" ht="12.75">
      <c r="A5" s="171" t="s">
        <v>168</v>
      </c>
      <c r="B5" s="174">
        <f>IF(Istruzioni!$E$7="","",IF(B15="std",(E23*60),(B23*60)))</f>
      </c>
      <c r="C5" s="187"/>
      <c r="D5" s="180"/>
      <c r="E5" s="181"/>
    </row>
    <row r="6" spans="1:5" ht="12.75">
      <c r="A6" s="171" t="s">
        <v>169</v>
      </c>
      <c r="B6" s="178">
        <f>IF(Istruzioni!$E$7="","",IF(B15="std",E25*B8,B25*B8))</f>
      </c>
      <c r="C6" s="188"/>
      <c r="D6" s="180"/>
      <c r="E6" s="181"/>
    </row>
    <row r="7" spans="1:7" ht="12.75">
      <c r="A7" s="171" t="s">
        <v>170</v>
      </c>
      <c r="B7" s="174">
        <v>20</v>
      </c>
      <c r="C7" s="180"/>
      <c r="D7" s="180"/>
      <c r="E7" s="181"/>
      <c r="G7" s="176" t="s">
        <v>216</v>
      </c>
    </row>
    <row r="8" spans="1:5" ht="12.75">
      <c r="A8" s="189" t="s">
        <v>217</v>
      </c>
      <c r="B8" s="190">
        <f>IF(B15="std",Prontuario!W1,IF($C$8&lt;&gt;0,C8,Prontuario!W1))</f>
        <v>1</v>
      </c>
      <c r="C8" s="256"/>
      <c r="D8" s="191"/>
      <c r="E8" s="181"/>
    </row>
    <row r="9" spans="1:5" ht="12.75">
      <c r="A9" s="182" t="s">
        <v>171</v>
      </c>
      <c r="B9" s="192">
        <f>IF(Istruzioni!$E$7="","",IF(B15="std",E21,B21))</f>
      </c>
      <c r="C9" s="255" t="e">
        <f>B9/B1</f>
        <v>#VALUE!</v>
      </c>
      <c r="D9" s="185" t="s">
        <v>165</v>
      </c>
      <c r="E9" s="181"/>
    </row>
    <row r="10" spans="1:5" ht="12.75">
      <c r="A10" s="193" t="s">
        <v>172</v>
      </c>
      <c r="B10" s="192">
        <f>IF(Istruzioni!$E$7="","",IF(B15="std",E22,B22))</f>
      </c>
      <c r="C10" s="184" t="e">
        <f>B10/B1</f>
        <v>#VALUE!</v>
      </c>
      <c r="D10" s="185" t="s">
        <v>165</v>
      </c>
      <c r="E10" s="181"/>
    </row>
    <row r="11" spans="1:5" ht="12.75">
      <c r="A11" s="194" t="s">
        <v>173</v>
      </c>
      <c r="B11" s="195" t="e">
        <f>B1-B2</f>
        <v>#VALUE!</v>
      </c>
      <c r="C11" s="179" t="e">
        <f>B11/B1</f>
        <v>#VALUE!</v>
      </c>
      <c r="D11" s="180" t="s">
        <v>165</v>
      </c>
      <c r="E11" s="181"/>
    </row>
    <row r="12" spans="1:5" ht="12.75">
      <c r="A12" s="196"/>
      <c r="B12" s="197"/>
      <c r="C12" s="198"/>
      <c r="E12" s="175"/>
    </row>
    <row r="13" spans="1:5" ht="12.75">
      <c r="A13" s="199"/>
      <c r="B13" s="200"/>
      <c r="C13" s="198"/>
      <c r="E13" s="175"/>
    </row>
    <row r="14" spans="1:5" ht="12.75">
      <c r="A14" s="176"/>
      <c r="B14" s="201">
        <f>15*1</f>
        <v>15</v>
      </c>
      <c r="C14" s="201">
        <f>35*1</f>
        <v>35</v>
      </c>
      <c r="D14" s="201">
        <f>45*1</f>
        <v>45</v>
      </c>
      <c r="E14" s="175"/>
    </row>
    <row r="15" spans="1:5" ht="12.75">
      <c r="A15" s="199" t="s">
        <v>174</v>
      </c>
      <c r="B15" s="257" t="s">
        <v>237</v>
      </c>
      <c r="C15" s="198" t="s">
        <v>234</v>
      </c>
      <c r="D15" s="202"/>
      <c r="E15" s="175"/>
    </row>
    <row r="16" ht="12.75">
      <c r="E16" s="203" t="s">
        <v>73</v>
      </c>
    </row>
    <row r="17" spans="1:7" ht="12.75">
      <c r="A17" s="204" t="s">
        <v>163</v>
      </c>
      <c r="B17" s="258"/>
      <c r="C17" s="205" t="str">
        <f aca="true" t="shared" si="0" ref="C17:C23">IF($B$15="std","DEMO","Personalizzato")</f>
        <v>DEMO</v>
      </c>
      <c r="D17" s="206"/>
      <c r="E17" s="207">
        <v>106086.16566904409</v>
      </c>
      <c r="F17" s="208"/>
      <c r="G17" s="209"/>
    </row>
    <row r="18" spans="1:7" ht="12.75">
      <c r="A18" s="204" t="s">
        <v>164</v>
      </c>
      <c r="B18" s="210">
        <f>B19+B20+B21+B22</f>
        <v>0</v>
      </c>
      <c r="C18" s="205" t="str">
        <f t="shared" si="0"/>
        <v>DEMO</v>
      </c>
      <c r="D18" s="211"/>
      <c r="E18" s="212">
        <v>95473.32809990342</v>
      </c>
      <c r="F18" s="208"/>
      <c r="G18" s="209"/>
    </row>
    <row r="19" spans="1:23" s="215" customFormat="1" ht="12.75">
      <c r="A19" s="204" t="s">
        <v>166</v>
      </c>
      <c r="B19" s="259"/>
      <c r="C19" s="205" t="str">
        <f t="shared" si="0"/>
        <v>DEMO</v>
      </c>
      <c r="D19" s="206"/>
      <c r="E19" s="212">
        <v>15444.592438038084</v>
      </c>
      <c r="F19" s="208"/>
      <c r="G19" s="213"/>
      <c r="H19" s="214"/>
      <c r="I19" s="214"/>
      <c r="J19" s="214"/>
      <c r="K19" s="214"/>
      <c r="L19" s="214"/>
      <c r="M19" s="214"/>
      <c r="N19" s="214"/>
      <c r="O19" s="214"/>
      <c r="P19" s="214"/>
      <c r="Q19" s="214"/>
      <c r="R19" s="214"/>
      <c r="S19" s="214"/>
      <c r="T19" s="214"/>
      <c r="U19" s="214"/>
      <c r="V19" s="214"/>
      <c r="W19" s="214"/>
    </row>
    <row r="20" spans="1:7" ht="12.75">
      <c r="A20" s="216" t="s">
        <v>167</v>
      </c>
      <c r="B20" s="259"/>
      <c r="C20" s="205" t="str">
        <f t="shared" si="0"/>
        <v>DEMO</v>
      </c>
      <c r="D20" s="206"/>
      <c r="E20" s="212">
        <v>32622.312487411364</v>
      </c>
      <c r="F20" s="208"/>
      <c r="G20" s="209"/>
    </row>
    <row r="21" spans="1:7" ht="12.75">
      <c r="A21" s="217" t="s">
        <v>171</v>
      </c>
      <c r="B21" s="260"/>
      <c r="C21" s="205" t="str">
        <f t="shared" si="0"/>
        <v>DEMO</v>
      </c>
      <c r="D21" s="218"/>
      <c r="E21" s="219">
        <v>17453.723912470887</v>
      </c>
      <c r="F21" s="208"/>
      <c r="G21" s="209"/>
    </row>
    <row r="22" spans="1:7" ht="12.75">
      <c r="A22" s="216" t="s">
        <v>172</v>
      </c>
      <c r="B22" s="260"/>
      <c r="C22" s="205" t="str">
        <f t="shared" si="0"/>
        <v>DEMO</v>
      </c>
      <c r="D22" s="206"/>
      <c r="E22" s="219">
        <v>29952.699261983093</v>
      </c>
      <c r="F22" s="208"/>
      <c r="G22" s="209"/>
    </row>
    <row r="23" spans="1:5" ht="12.75">
      <c r="A23" s="217" t="s">
        <v>219</v>
      </c>
      <c r="B23" s="258"/>
      <c r="C23" s="205" t="str">
        <f t="shared" si="0"/>
        <v>DEMO</v>
      </c>
      <c r="D23" s="220"/>
      <c r="E23" s="221">
        <v>2400</v>
      </c>
    </row>
    <row r="24" spans="1:5" ht="12.75">
      <c r="A24" s="222" t="s">
        <v>218</v>
      </c>
      <c r="B24" s="223">
        <f>B23*60</f>
        <v>0</v>
      </c>
      <c r="C24" s="205">
        <f>IF($B$15="std","","Personalizzato")</f>
      </c>
      <c r="D24" s="206"/>
      <c r="E24" s="221">
        <f>E23*60</f>
        <v>144000</v>
      </c>
    </row>
    <row r="25" spans="1:5" ht="12.75">
      <c r="A25" s="222" t="s">
        <v>74</v>
      </c>
      <c r="B25" s="223">
        <f>IF(B21&lt;&gt;"",B21/B24,0)</f>
        <v>0</v>
      </c>
      <c r="C25" s="205">
        <f>IF($B$15="std","","Personalizzato")</f>
      </c>
      <c r="D25" s="206"/>
      <c r="E25" s="207">
        <f>E21/E24</f>
        <v>0.12120641605882561</v>
      </c>
    </row>
    <row r="26" spans="1:6" ht="12.75">
      <c r="A26" s="224"/>
      <c r="F26" s="225"/>
    </row>
    <row r="27" spans="1:3" ht="12.75">
      <c r="A27" s="226" t="s">
        <v>166</v>
      </c>
      <c r="B27" s="227" t="e">
        <f>B3/$B$1</f>
        <v>#VALUE!</v>
      </c>
      <c r="C27" s="228" t="s">
        <v>75</v>
      </c>
    </row>
    <row r="28" spans="1:3" ht="12.75">
      <c r="A28" s="229" t="s">
        <v>167</v>
      </c>
      <c r="B28" s="230" t="e">
        <f>B4/$B$1</f>
        <v>#VALUE!</v>
      </c>
      <c r="C28" s="231" t="s">
        <v>76</v>
      </c>
    </row>
    <row r="29" spans="1:3" ht="12.75">
      <c r="A29" s="232" t="s">
        <v>171</v>
      </c>
      <c r="B29" s="233" t="e">
        <f>B9/$B$1</f>
        <v>#VALUE!</v>
      </c>
      <c r="C29" s="234" t="s">
        <v>77</v>
      </c>
    </row>
    <row r="30" spans="1:3" ht="12.75">
      <c r="A30" s="235" t="s">
        <v>172</v>
      </c>
      <c r="B30" s="236" t="e">
        <f>B10/$B$1</f>
        <v>#VALUE!</v>
      </c>
      <c r="C30" s="237" t="s">
        <v>77</v>
      </c>
    </row>
    <row r="31" spans="1:3" ht="12.75">
      <c r="A31" s="238" t="s">
        <v>78</v>
      </c>
      <c r="B31" s="239" t="e">
        <f>B11/B1</f>
        <v>#VALUE!</v>
      </c>
      <c r="C31" s="240" t="s">
        <v>75</v>
      </c>
    </row>
    <row r="32" ht="12.75">
      <c r="A32" s="224"/>
    </row>
    <row r="33" spans="1:3" ht="12.75">
      <c r="A33" s="241" t="str">
        <f>Istruzioni!$D$4</f>
        <v>             Realizzazione ed implementazione progetto: Sandro D'Antonio © 1996-2002 UAPI Udine </v>
      </c>
      <c r="B33" s="242"/>
      <c r="C33" s="181"/>
    </row>
    <row r="34" spans="1:5" ht="12.75">
      <c r="A34" s="243"/>
      <c r="B34" s="197"/>
      <c r="C34" s="181"/>
      <c r="D34" s="175"/>
      <c r="E34" s="175"/>
    </row>
    <row r="35" spans="1:3" ht="12.75">
      <c r="A35" s="232" t="s">
        <v>25</v>
      </c>
      <c r="B35" s="244">
        <f>Istruzioni!$G$12</f>
      </c>
      <c r="C35" s="181"/>
    </row>
    <row r="36" spans="1:3" ht="12.75">
      <c r="A36" s="196"/>
      <c r="B36" s="197"/>
      <c r="C36" s="181"/>
    </row>
    <row r="37" spans="1:3" ht="12.75">
      <c r="A37" s="245"/>
      <c r="B37" s="246"/>
      <c r="C37" s="181"/>
    </row>
    <row r="38" spans="1:3" ht="12.75">
      <c r="A38" s="196"/>
      <c r="B38" s="246"/>
      <c r="C38" s="181"/>
    </row>
    <row r="39" spans="1:3" ht="12.75">
      <c r="A39" s="247"/>
      <c r="B39" s="248"/>
      <c r="C39" s="249"/>
    </row>
    <row r="40" spans="1:2" ht="12.75">
      <c r="A40" s="248"/>
      <c r="B40" s="250"/>
    </row>
    <row r="41" spans="1:2" ht="12.75">
      <c r="A41" s="248"/>
      <c r="B41" s="250"/>
    </row>
    <row r="42" spans="1:2" ht="12.75">
      <c r="A42" s="248"/>
      <c r="B42" s="250"/>
    </row>
    <row r="43" spans="1:2" ht="12.75">
      <c r="A43" s="248"/>
      <c r="B43" s="250"/>
    </row>
    <row r="44" spans="1:2" ht="12.75">
      <c r="A44" s="248"/>
      <c r="B44" s="250"/>
    </row>
    <row r="45" spans="1:2" ht="12.75">
      <c r="A45" s="248"/>
      <c r="B45" s="248"/>
    </row>
    <row r="46" spans="1:2" ht="12.75">
      <c r="A46" s="248"/>
      <c r="B46" s="248"/>
    </row>
    <row r="47" spans="1:2" ht="12.75">
      <c r="A47" s="248"/>
      <c r="B47" s="248"/>
    </row>
    <row r="48" spans="1:2" ht="12.75">
      <c r="A48" s="248"/>
      <c r="B48" s="248"/>
    </row>
    <row r="49" spans="1:2" ht="12.75">
      <c r="A49" s="248"/>
      <c r="B49" s="248"/>
    </row>
    <row r="50" spans="1:2" ht="12.75">
      <c r="A50" s="248"/>
      <c r="B50" s="248"/>
    </row>
    <row r="51" spans="1:2" ht="12.75">
      <c r="A51" s="248"/>
      <c r="B51" s="248"/>
    </row>
    <row r="52" spans="1:2" ht="12.75">
      <c r="A52" s="248"/>
      <c r="B52" s="248"/>
    </row>
    <row r="53" spans="1:2" ht="12.75">
      <c r="A53" s="248"/>
      <c r="B53" s="248"/>
    </row>
    <row r="54" spans="1:2" ht="12.75">
      <c r="A54" s="248"/>
      <c r="B54" s="248"/>
    </row>
    <row r="55" spans="1:2" ht="12.75">
      <c r="A55" s="248"/>
      <c r="B55" s="248"/>
    </row>
    <row r="56" spans="1:2" ht="12.75">
      <c r="A56" s="248"/>
      <c r="B56" s="248"/>
    </row>
    <row r="57" spans="1:2" ht="12.75">
      <c r="A57" s="248"/>
      <c r="B57" s="248"/>
    </row>
    <row r="58" spans="1:2" ht="12.75">
      <c r="A58" s="248"/>
      <c r="B58" s="248"/>
    </row>
    <row r="59" spans="1:2" ht="12.75">
      <c r="A59" s="248"/>
      <c r="B59" s="248"/>
    </row>
    <row r="60" spans="1:2" ht="12.75">
      <c r="A60" s="248"/>
      <c r="B60" s="248"/>
    </row>
  </sheetData>
  <sheetProtection password="DC65" sheet="1" objects="1" scenarios="1"/>
  <printOptions gridLines="1"/>
  <pageMargins left="0.75" right="0.75" top="1" bottom="1" header="0.5" footer="0.5"/>
  <pageSetup horizontalDpi="200" verticalDpi="200" orientation="portrait" paperSize="9" r:id="rId2"/>
  <headerFooter alignWithMargins="0">
    <oddHeader>&amp;C&amp;A</oddHeader>
    <oddFooter>&amp;CPagina &amp;P</oddFooter>
  </headerFooter>
  <drawing r:id="rId1"/>
</worksheet>
</file>

<file path=xl/worksheets/sheet4.xml><?xml version="1.0" encoding="utf-8"?>
<worksheet xmlns="http://schemas.openxmlformats.org/spreadsheetml/2006/main" xmlns:r="http://schemas.openxmlformats.org/officeDocument/2006/relationships">
  <sheetPr codeName="Foglio4"/>
  <dimension ref="A2:E24"/>
  <sheetViews>
    <sheetView showRowColHeaders="0" workbookViewId="0" topLeftCell="A1">
      <selection activeCell="B4" sqref="B4"/>
    </sheetView>
  </sheetViews>
  <sheetFormatPr defaultColWidth="9.00390625" defaultRowHeight="12.75"/>
  <cols>
    <col min="1" max="1" width="25.875" style="52" customWidth="1"/>
    <col min="2" max="2" width="13.625" style="52" customWidth="1"/>
    <col min="3" max="16384" width="10.75390625" style="52" customWidth="1"/>
  </cols>
  <sheetData>
    <row r="2" ht="24.75" customHeight="1">
      <c r="A2" s="66" t="s">
        <v>236</v>
      </c>
    </row>
    <row r="3" ht="12.75" hidden="1"/>
    <row r="4" spans="1:5" ht="15" customHeight="1">
      <c r="A4" s="58" t="s">
        <v>229</v>
      </c>
      <c r="B4" s="169">
        <v>0</v>
      </c>
      <c r="C4" s="108" t="str">
        <f>IF($B$9&lt;=0,"Errore",$B$9)</f>
        <v>Errore</v>
      </c>
      <c r="D4" s="61">
        <f>IF($B$9&gt;5,0,$B$9)</f>
        <v>0</v>
      </c>
      <c r="E4" s="62" t="str">
        <f>IF(C4=D4,(-B9*Valori!$B$14/100+1),"Errore")</f>
        <v>Errore</v>
      </c>
    </row>
    <row r="5" spans="1:5" ht="15" customHeight="1">
      <c r="A5" s="58" t="s">
        <v>230</v>
      </c>
      <c r="B5" s="167">
        <f>Valori!B6</f>
      </c>
      <c r="C5" s="108" t="str">
        <f>IF($B$10&lt;=0,"Errore",$B$10)</f>
        <v>Errore</v>
      </c>
      <c r="D5" s="61">
        <f>IF($B$10&gt;5,0,$B$10)</f>
        <v>0</v>
      </c>
      <c r="E5" s="62" t="str">
        <f>IF(C5=D5,(B10*Valori!$C$14/100+1),"Errore")</f>
        <v>Errore</v>
      </c>
    </row>
    <row r="6" spans="1:5" ht="15" customHeight="1">
      <c r="A6" s="58" t="s">
        <v>231</v>
      </c>
      <c r="B6" s="166">
        <v>0</v>
      </c>
      <c r="C6" s="108" t="str">
        <f>IF($B$11&lt;=0,"Errore",$B$11)</f>
        <v>Errore</v>
      </c>
      <c r="D6" s="61">
        <f>IF($B$11&gt;5,0,$B$11)</f>
        <v>0</v>
      </c>
      <c r="E6" s="62" t="str">
        <f>IF(C6=D6,(B11*Valori!$D$14/100+1),"Errore")</f>
        <v>Errore</v>
      </c>
    </row>
    <row r="7" spans="1:5" ht="15" customHeight="1">
      <c r="A7" s="58" t="s">
        <v>232</v>
      </c>
      <c r="B7" s="170">
        <v>0</v>
      </c>
      <c r="C7" s="62"/>
      <c r="D7" s="62"/>
      <c r="E7" s="62"/>
    </row>
    <row r="8" spans="1:5" ht="15" customHeight="1">
      <c r="A8" s="58" t="s">
        <v>233</v>
      </c>
      <c r="B8" s="167" t="e">
        <f>B4*B5+(B6*B7)</f>
        <v>#VALUE!</v>
      </c>
      <c r="C8" s="62"/>
      <c r="D8" s="62"/>
      <c r="E8" s="63" t="e">
        <f>((B6*B7)*E4*E5*E6+(B4*B5+ROUND(Costi_Variabili/Min_Lavoro_Anno*B4,0)+ROUND(Costi_Fissi/Min_Lavoro_Anno*B4,0)))*(1&amp;","&amp;Valori!$B$7)</f>
        <v>#VALUE!</v>
      </c>
    </row>
    <row r="9" spans="1:4" ht="15" customHeight="1">
      <c r="A9" s="58" t="s">
        <v>86</v>
      </c>
      <c r="B9" s="100">
        <v>0</v>
      </c>
      <c r="C9" s="59" t="s">
        <v>87</v>
      </c>
      <c r="D9" s="60"/>
    </row>
    <row r="10" spans="1:3" ht="15" customHeight="1">
      <c r="A10" s="58" t="s">
        <v>88</v>
      </c>
      <c r="B10" s="99">
        <v>0</v>
      </c>
      <c r="C10" s="59" t="s">
        <v>87</v>
      </c>
    </row>
    <row r="11" spans="1:3" ht="15" customHeight="1">
      <c r="A11" s="58" t="s">
        <v>89</v>
      </c>
      <c r="B11" s="99">
        <v>0</v>
      </c>
      <c r="C11" s="59" t="s">
        <v>87</v>
      </c>
    </row>
    <row r="12" spans="1:2" ht="15" customHeight="1" thickBot="1">
      <c r="A12" s="58" t="s">
        <v>90</v>
      </c>
      <c r="B12" s="113">
        <v>20</v>
      </c>
    </row>
    <row r="13" spans="1:3" s="65" customFormat="1" ht="21" customHeight="1" thickBot="1">
      <c r="A13" s="64" t="s">
        <v>235</v>
      </c>
      <c r="B13" s="168" t="e">
        <f>E8</f>
        <v>#VALUE!</v>
      </c>
      <c r="C13" s="101" t="str">
        <f>IF(ISNUMBER(B13),"","Attenzione. Verificare di avere inserito dati corretti.")</f>
        <v>Attenzione. Verificare di avere inserito dati corretti.</v>
      </c>
    </row>
    <row r="22" ht="12.75">
      <c r="A22" s="143" t="str">
        <f>Istruzioni!$D$4</f>
        <v>             Realizzazione ed implementazione progetto: Sandro D'Antonio © 1996-2002 UAPI Udine </v>
      </c>
    </row>
    <row r="24" spans="1:2" ht="12.75">
      <c r="A24" s="123" t="s">
        <v>25</v>
      </c>
      <c r="B24" s="124">
        <f>Istruzioni!$G$12</f>
      </c>
    </row>
  </sheetData>
  <sheetProtection password="DC65" sheet="1" objects="1" scenarios="1"/>
  <printOptions gridLines="1"/>
  <pageMargins left="0.75" right="0.75" top="1" bottom="1" header="0.5" footer="0.5"/>
  <pageSetup orientation="portrait" paperSize="9"/>
  <headerFooter alignWithMargins="0">
    <oddHeader>&amp;C&amp;A</oddHeader>
    <oddFooter>&amp;CPagina &amp;P</oddFooter>
  </headerFooter>
  <drawing r:id="rId1"/>
</worksheet>
</file>

<file path=xl/worksheets/sheet5.xml><?xml version="1.0" encoding="utf-8"?>
<worksheet xmlns="http://schemas.openxmlformats.org/spreadsheetml/2006/main" xmlns:r="http://schemas.openxmlformats.org/officeDocument/2006/relationships">
  <sheetPr codeName="Foglio5"/>
  <dimension ref="A1:G36"/>
  <sheetViews>
    <sheetView showRowColHeaders="0" zoomScale="75" zoomScaleNormal="75" workbookViewId="0" topLeftCell="A4">
      <selection activeCell="D4" sqref="D4"/>
    </sheetView>
  </sheetViews>
  <sheetFormatPr defaultColWidth="9.00390625" defaultRowHeight="12.75"/>
  <cols>
    <col min="1" max="1" width="3.25390625" style="52" customWidth="1"/>
    <col min="2" max="2" width="15.375" style="52" customWidth="1"/>
    <col min="3" max="3" width="15.00390625" style="52" customWidth="1"/>
    <col min="4" max="4" width="14.875" style="52" customWidth="1"/>
    <col min="5" max="5" width="15.25390625" style="52" customWidth="1"/>
    <col min="6" max="6" width="14.00390625" style="52" customWidth="1"/>
    <col min="7" max="7" width="21.375" style="52" customWidth="1"/>
    <col min="8" max="16384" width="10.75390625" style="52" customWidth="1"/>
  </cols>
  <sheetData>
    <row r="1" spans="1:6" ht="23.25">
      <c r="A1" s="79" t="s">
        <v>91</v>
      </c>
      <c r="E1" s="119"/>
      <c r="F1" s="119"/>
    </row>
    <row r="2" spans="1:6" ht="12.75">
      <c r="A2" s="80"/>
      <c r="B2" s="80"/>
      <c r="C2" s="80"/>
      <c r="D2" s="80"/>
      <c r="E2" s="80"/>
      <c r="F2" s="80"/>
    </row>
    <row r="3" spans="1:6" ht="12.75">
      <c r="A3" s="80" t="s">
        <v>92</v>
      </c>
      <c r="B3" s="81"/>
      <c r="C3" s="81"/>
      <c r="D3" s="81"/>
      <c r="E3" s="81"/>
      <c r="F3" s="81"/>
    </row>
    <row r="4" spans="1:6" ht="12.75">
      <c r="A4" s="81"/>
      <c r="B4" s="81"/>
      <c r="C4" s="82" t="s">
        <v>164</v>
      </c>
      <c r="D4" s="111">
        <v>0</v>
      </c>
      <c r="E4" s="81"/>
      <c r="F4" s="81"/>
    </row>
    <row r="5" spans="1:6" ht="12.75">
      <c r="A5" s="81"/>
      <c r="B5" s="81"/>
      <c r="C5" s="82" t="s">
        <v>93</v>
      </c>
      <c r="D5" s="112">
        <v>0</v>
      </c>
      <c r="E5" s="81"/>
      <c r="F5" s="81"/>
    </row>
    <row r="6" spans="1:6" ht="12.75">
      <c r="A6" s="81"/>
      <c r="B6" s="81"/>
      <c r="C6" s="82" t="s">
        <v>94</v>
      </c>
      <c r="D6" s="111">
        <v>0</v>
      </c>
      <c r="E6" s="81"/>
      <c r="F6" s="81"/>
    </row>
    <row r="7" spans="1:6" ht="12.75">
      <c r="A7" s="80" t="s">
        <v>95</v>
      </c>
      <c r="B7" s="81"/>
      <c r="C7" s="81"/>
      <c r="D7" s="81"/>
      <c r="E7" s="81"/>
      <c r="F7" s="81"/>
    </row>
    <row r="8" spans="1:6" ht="12.75">
      <c r="A8" s="80"/>
      <c r="B8" s="81"/>
      <c r="C8" s="81"/>
      <c r="D8" s="81"/>
      <c r="E8" s="81"/>
      <c r="F8" s="81"/>
    </row>
    <row r="9" spans="1:6" ht="12.75">
      <c r="A9" s="81"/>
      <c r="B9" s="83"/>
      <c r="C9" s="84" t="s">
        <v>141</v>
      </c>
      <c r="D9" s="84" t="s">
        <v>142</v>
      </c>
      <c r="E9" s="84" t="s">
        <v>143</v>
      </c>
      <c r="F9" s="85" t="s">
        <v>144</v>
      </c>
    </row>
    <row r="10" spans="1:6" ht="12.75">
      <c r="A10" s="81"/>
      <c r="B10" s="86" t="s">
        <v>145</v>
      </c>
      <c r="C10" s="87" t="s">
        <v>146</v>
      </c>
      <c r="D10" s="87" t="s">
        <v>147</v>
      </c>
      <c r="E10" s="87" t="s">
        <v>148</v>
      </c>
      <c r="F10" s="88" t="s">
        <v>149</v>
      </c>
    </row>
    <row r="11" spans="1:6" ht="12.75">
      <c r="A11" s="81"/>
      <c r="B11" s="251">
        <f>IF(Istruzioni!$E$7="","",Spese_fisse/(1-Margine_di_contribuzione))</f>
      </c>
      <c r="C11" s="252">
        <f>IF(Istruzioni!$E$7="","",Spese_fisse)</f>
      </c>
      <c r="D11" s="252" t="e">
        <f>Reddito*Margine_di_contribuzione</f>
        <v>#VALUE!</v>
      </c>
      <c r="E11" s="252" t="e">
        <f>Spese_variabili+Sp_fisse</f>
        <v>#VALUE!</v>
      </c>
      <c r="F11" s="252" t="e">
        <f>Reddito-Spese_totali</f>
        <v>#VALUE!</v>
      </c>
    </row>
    <row r="12" spans="1:6" ht="12.75">
      <c r="A12" s="80" t="s">
        <v>150</v>
      </c>
      <c r="B12" s="81"/>
      <c r="C12" s="81"/>
      <c r="D12" s="81"/>
      <c r="E12" s="81"/>
      <c r="F12" s="81"/>
    </row>
    <row r="13" spans="1:7" ht="148.5" customHeight="1">
      <c r="A13" s="80"/>
      <c r="B13" s="81"/>
      <c r="C13" s="81"/>
      <c r="D13" s="81"/>
      <c r="E13" s="81"/>
      <c r="F13" s="81"/>
      <c r="G13" s="89"/>
    </row>
    <row r="14" spans="1:6" ht="12.75">
      <c r="A14" s="81"/>
      <c r="B14" s="83"/>
      <c r="C14" s="84" t="s">
        <v>141</v>
      </c>
      <c r="D14" s="84" t="s">
        <v>142</v>
      </c>
      <c r="E14" s="84" t="s">
        <v>143</v>
      </c>
      <c r="F14" s="85" t="s">
        <v>144</v>
      </c>
    </row>
    <row r="15" spans="1:6" ht="12.75">
      <c r="A15" s="81"/>
      <c r="B15" s="90" t="s">
        <v>145</v>
      </c>
      <c r="C15" s="87" t="s">
        <v>146</v>
      </c>
      <c r="D15" s="87" t="s">
        <v>147</v>
      </c>
      <c r="E15" s="87" t="s">
        <v>148</v>
      </c>
      <c r="F15" s="88" t="s">
        <v>149</v>
      </c>
    </row>
    <row r="16" spans="2:6" ht="12.75">
      <c r="B16" s="268" t="e">
        <f aca="true" t="shared" si="0" ref="B16:B25">B17-Incrementi_del_reddito</f>
        <v>#VALUE!</v>
      </c>
      <c r="C16" s="261">
        <f aca="true" t="shared" si="1" ref="C16:C25">Spese_fisse</f>
        <v>0</v>
      </c>
      <c r="D16" s="261" t="e">
        <f aca="true" t="shared" si="2" ref="D16:D25">Tab_reddito*Margine_di_contribuzione</f>
        <v>#VALUE!</v>
      </c>
      <c r="E16" s="261" t="e">
        <f aca="true" t="shared" si="3" ref="E16:E25">Tab_spese_variabili+Tab_spese_fisse</f>
        <v>#VALUE!</v>
      </c>
      <c r="F16" s="261" t="e">
        <f aca="true" t="shared" si="4" ref="F16:F31">Tab_reddito-Tab_totale</f>
        <v>#VALUE!</v>
      </c>
    </row>
    <row r="17" spans="2:6" ht="12.75">
      <c r="B17" s="262" t="e">
        <f t="shared" si="0"/>
        <v>#VALUE!</v>
      </c>
      <c r="C17" s="263">
        <f t="shared" si="1"/>
        <v>0</v>
      </c>
      <c r="D17" s="263" t="e">
        <f t="shared" si="2"/>
        <v>#VALUE!</v>
      </c>
      <c r="E17" s="263" t="e">
        <f t="shared" si="3"/>
        <v>#VALUE!</v>
      </c>
      <c r="F17" s="263" t="e">
        <f t="shared" si="4"/>
        <v>#VALUE!</v>
      </c>
    </row>
    <row r="18" spans="2:6" ht="12.75">
      <c r="B18" s="262" t="e">
        <f t="shared" si="0"/>
        <v>#VALUE!</v>
      </c>
      <c r="C18" s="263">
        <f t="shared" si="1"/>
        <v>0</v>
      </c>
      <c r="D18" s="263" t="e">
        <f t="shared" si="2"/>
        <v>#VALUE!</v>
      </c>
      <c r="E18" s="263" t="e">
        <f t="shared" si="3"/>
        <v>#VALUE!</v>
      </c>
      <c r="F18" s="263" t="e">
        <f t="shared" si="4"/>
        <v>#VALUE!</v>
      </c>
    </row>
    <row r="19" spans="2:6" ht="12.75">
      <c r="B19" s="262" t="e">
        <f t="shared" si="0"/>
        <v>#VALUE!</v>
      </c>
      <c r="C19" s="263">
        <f t="shared" si="1"/>
        <v>0</v>
      </c>
      <c r="D19" s="263" t="e">
        <f t="shared" si="2"/>
        <v>#VALUE!</v>
      </c>
      <c r="E19" s="263" t="e">
        <f t="shared" si="3"/>
        <v>#VALUE!</v>
      </c>
      <c r="F19" s="263" t="e">
        <f t="shared" si="4"/>
        <v>#VALUE!</v>
      </c>
    </row>
    <row r="20" spans="2:6" ht="12.75">
      <c r="B20" s="262" t="e">
        <f t="shared" si="0"/>
        <v>#VALUE!</v>
      </c>
      <c r="C20" s="263">
        <f t="shared" si="1"/>
        <v>0</v>
      </c>
      <c r="D20" s="263" t="e">
        <f t="shared" si="2"/>
        <v>#VALUE!</v>
      </c>
      <c r="E20" s="263" t="e">
        <f t="shared" si="3"/>
        <v>#VALUE!</v>
      </c>
      <c r="F20" s="263" t="e">
        <f t="shared" si="4"/>
        <v>#VALUE!</v>
      </c>
    </row>
    <row r="21" spans="2:6" ht="12.75">
      <c r="B21" s="262" t="e">
        <f t="shared" si="0"/>
        <v>#VALUE!</v>
      </c>
      <c r="C21" s="263">
        <f t="shared" si="1"/>
        <v>0</v>
      </c>
      <c r="D21" s="263" t="e">
        <f t="shared" si="2"/>
        <v>#VALUE!</v>
      </c>
      <c r="E21" s="263" t="e">
        <f t="shared" si="3"/>
        <v>#VALUE!</v>
      </c>
      <c r="F21" s="263" t="e">
        <f t="shared" si="4"/>
        <v>#VALUE!</v>
      </c>
    </row>
    <row r="22" spans="2:6" ht="12.75">
      <c r="B22" s="262" t="e">
        <f t="shared" si="0"/>
        <v>#VALUE!</v>
      </c>
      <c r="C22" s="263">
        <f t="shared" si="1"/>
        <v>0</v>
      </c>
      <c r="D22" s="263" t="e">
        <f t="shared" si="2"/>
        <v>#VALUE!</v>
      </c>
      <c r="E22" s="263" t="e">
        <f t="shared" si="3"/>
        <v>#VALUE!</v>
      </c>
      <c r="F22" s="263" t="e">
        <f t="shared" si="4"/>
        <v>#VALUE!</v>
      </c>
    </row>
    <row r="23" spans="2:6" ht="12.75">
      <c r="B23" s="262" t="e">
        <f t="shared" si="0"/>
        <v>#VALUE!</v>
      </c>
      <c r="C23" s="263">
        <f t="shared" si="1"/>
        <v>0</v>
      </c>
      <c r="D23" s="263" t="e">
        <f t="shared" si="2"/>
        <v>#VALUE!</v>
      </c>
      <c r="E23" s="263" t="e">
        <f t="shared" si="3"/>
        <v>#VALUE!</v>
      </c>
      <c r="F23" s="263" t="e">
        <f t="shared" si="4"/>
        <v>#VALUE!</v>
      </c>
    </row>
    <row r="24" spans="2:6" ht="12.75">
      <c r="B24" s="262" t="e">
        <f t="shared" si="0"/>
        <v>#VALUE!</v>
      </c>
      <c r="C24" s="263">
        <f t="shared" si="1"/>
        <v>0</v>
      </c>
      <c r="D24" s="263" t="e">
        <f t="shared" si="2"/>
        <v>#VALUE!</v>
      </c>
      <c r="E24" s="263" t="e">
        <f t="shared" si="3"/>
        <v>#VALUE!</v>
      </c>
      <c r="F24" s="263" t="e">
        <f t="shared" si="4"/>
        <v>#VALUE!</v>
      </c>
    </row>
    <row r="25" spans="2:6" ht="12.75">
      <c r="B25" s="264" t="e">
        <f t="shared" si="0"/>
        <v>#VALUE!</v>
      </c>
      <c r="C25" s="265">
        <f t="shared" si="1"/>
        <v>0</v>
      </c>
      <c r="D25" s="265" t="e">
        <f t="shared" si="2"/>
        <v>#VALUE!</v>
      </c>
      <c r="E25" s="265" t="e">
        <f t="shared" si="3"/>
        <v>#VALUE!</v>
      </c>
      <c r="F25" s="265" t="e">
        <f t="shared" si="4"/>
        <v>#VALUE!</v>
      </c>
    </row>
    <row r="26" spans="2:6" ht="12.75">
      <c r="B26" s="266">
        <f>Reddito</f>
      </c>
      <c r="C26" s="267">
        <f>Sp_fisse</f>
      </c>
      <c r="D26" s="267" t="e">
        <f>Spese_variabili</f>
        <v>#VALUE!</v>
      </c>
      <c r="E26" s="267" t="e">
        <f>Spese_totali</f>
        <v>#VALUE!</v>
      </c>
      <c r="F26" s="267" t="e">
        <f t="shared" si="4"/>
        <v>#VALUE!</v>
      </c>
    </row>
    <row r="27" spans="2:6" ht="12.75">
      <c r="B27" s="262" t="e">
        <f aca="true" t="shared" si="5" ref="B27:B36">B26+Incrementi_del_reddito</f>
        <v>#VALUE!</v>
      </c>
      <c r="C27" s="263">
        <f aca="true" t="shared" si="6" ref="C27:C36">Spese_fisse</f>
        <v>0</v>
      </c>
      <c r="D27" s="263" t="e">
        <f aca="true" t="shared" si="7" ref="D27:D36">Tab_reddito*Margine_di_contribuzione</f>
        <v>#VALUE!</v>
      </c>
      <c r="E27" s="263" t="e">
        <f aca="true" t="shared" si="8" ref="E27:E36">Tab_spese_variabili+Tab_spese_fisse</f>
        <v>#VALUE!</v>
      </c>
      <c r="F27" s="263" t="e">
        <f t="shared" si="4"/>
        <v>#VALUE!</v>
      </c>
    </row>
    <row r="28" spans="2:6" ht="12.75">
      <c r="B28" s="262" t="e">
        <f t="shared" si="5"/>
        <v>#VALUE!</v>
      </c>
      <c r="C28" s="263">
        <f t="shared" si="6"/>
        <v>0</v>
      </c>
      <c r="D28" s="263" t="e">
        <f t="shared" si="7"/>
        <v>#VALUE!</v>
      </c>
      <c r="E28" s="263" t="e">
        <f t="shared" si="8"/>
        <v>#VALUE!</v>
      </c>
      <c r="F28" s="263" t="e">
        <f t="shared" si="4"/>
        <v>#VALUE!</v>
      </c>
    </row>
    <row r="29" spans="2:6" ht="12.75">
      <c r="B29" s="262" t="e">
        <f t="shared" si="5"/>
        <v>#VALUE!</v>
      </c>
      <c r="C29" s="263">
        <f t="shared" si="6"/>
        <v>0</v>
      </c>
      <c r="D29" s="263" t="e">
        <f t="shared" si="7"/>
        <v>#VALUE!</v>
      </c>
      <c r="E29" s="263" t="e">
        <f t="shared" si="8"/>
        <v>#VALUE!</v>
      </c>
      <c r="F29" s="263" t="e">
        <f t="shared" si="4"/>
        <v>#VALUE!</v>
      </c>
    </row>
    <row r="30" spans="2:6" ht="12.75">
      <c r="B30" s="262" t="e">
        <f t="shared" si="5"/>
        <v>#VALUE!</v>
      </c>
      <c r="C30" s="263">
        <f t="shared" si="6"/>
        <v>0</v>
      </c>
      <c r="D30" s="263" t="e">
        <f t="shared" si="7"/>
        <v>#VALUE!</v>
      </c>
      <c r="E30" s="263" t="e">
        <f t="shared" si="8"/>
        <v>#VALUE!</v>
      </c>
      <c r="F30" s="263" t="e">
        <f t="shared" si="4"/>
        <v>#VALUE!</v>
      </c>
    </row>
    <row r="31" spans="2:6" ht="12.75">
      <c r="B31" s="262" t="e">
        <f t="shared" si="5"/>
        <v>#VALUE!</v>
      </c>
      <c r="C31" s="263">
        <f t="shared" si="6"/>
        <v>0</v>
      </c>
      <c r="D31" s="263" t="e">
        <f t="shared" si="7"/>
        <v>#VALUE!</v>
      </c>
      <c r="E31" s="263" t="e">
        <f t="shared" si="8"/>
        <v>#VALUE!</v>
      </c>
      <c r="F31" s="263" t="e">
        <f t="shared" si="4"/>
        <v>#VALUE!</v>
      </c>
    </row>
    <row r="32" spans="2:6" ht="12.75">
      <c r="B32" s="262" t="e">
        <f t="shared" si="5"/>
        <v>#VALUE!</v>
      </c>
      <c r="C32" s="263">
        <f t="shared" si="6"/>
        <v>0</v>
      </c>
      <c r="D32" s="263" t="e">
        <f t="shared" si="7"/>
        <v>#VALUE!</v>
      </c>
      <c r="E32" s="263" t="e">
        <f t="shared" si="8"/>
        <v>#VALUE!</v>
      </c>
      <c r="F32" s="263" t="e">
        <f>Tab_reddito-Tab_totale</f>
        <v>#VALUE!</v>
      </c>
    </row>
    <row r="33" spans="2:6" ht="12.75">
      <c r="B33" s="262" t="e">
        <f t="shared" si="5"/>
        <v>#VALUE!</v>
      </c>
      <c r="C33" s="263">
        <f t="shared" si="6"/>
        <v>0</v>
      </c>
      <c r="D33" s="263" t="e">
        <f t="shared" si="7"/>
        <v>#VALUE!</v>
      </c>
      <c r="E33" s="263" t="e">
        <f t="shared" si="8"/>
        <v>#VALUE!</v>
      </c>
      <c r="F33" s="263" t="e">
        <f>Tab_reddito-Tab_totale</f>
        <v>#VALUE!</v>
      </c>
    </row>
    <row r="34" spans="2:6" ht="12.75">
      <c r="B34" s="262" t="e">
        <f t="shared" si="5"/>
        <v>#VALUE!</v>
      </c>
      <c r="C34" s="263">
        <f t="shared" si="6"/>
        <v>0</v>
      </c>
      <c r="D34" s="263" t="e">
        <f t="shared" si="7"/>
        <v>#VALUE!</v>
      </c>
      <c r="E34" s="263" t="e">
        <f t="shared" si="8"/>
        <v>#VALUE!</v>
      </c>
      <c r="F34" s="263" t="e">
        <f>Tab_reddito-Tab_totale</f>
        <v>#VALUE!</v>
      </c>
    </row>
    <row r="35" spans="2:6" ht="12.75">
      <c r="B35" s="262" t="e">
        <f t="shared" si="5"/>
        <v>#VALUE!</v>
      </c>
      <c r="C35" s="263">
        <f t="shared" si="6"/>
        <v>0</v>
      </c>
      <c r="D35" s="263" t="e">
        <f t="shared" si="7"/>
        <v>#VALUE!</v>
      </c>
      <c r="E35" s="263" t="e">
        <f t="shared" si="8"/>
        <v>#VALUE!</v>
      </c>
      <c r="F35" s="263" t="e">
        <f>Tab_reddito-Tab_totale</f>
        <v>#VALUE!</v>
      </c>
    </row>
    <row r="36" spans="2:6" ht="12.75">
      <c r="B36" s="264" t="e">
        <f t="shared" si="5"/>
        <v>#VALUE!</v>
      </c>
      <c r="C36" s="265">
        <f t="shared" si="6"/>
        <v>0</v>
      </c>
      <c r="D36" s="265" t="e">
        <f t="shared" si="7"/>
        <v>#VALUE!</v>
      </c>
      <c r="E36" s="265" t="e">
        <f t="shared" si="8"/>
        <v>#VALUE!</v>
      </c>
      <c r="F36" s="265" t="e">
        <f>Tab_reddito-Tab_totale</f>
        <v>#VALUE!</v>
      </c>
    </row>
  </sheetData>
  <sheetProtection password="DC65" sheet="1" objects="1" scenarios="1"/>
  <printOptions gridLines="1"/>
  <pageMargins left="0.75" right="0.75" top="1" bottom="1" header="0.5" footer="0.5"/>
  <pageSetup orientation="portrait" paperSize="9" r:id="rId2"/>
  <headerFooter alignWithMargins="0">
    <oddHeader>&amp;C&amp;A</oddHeader>
    <oddFooter>&amp;CPagina &amp;P</oddFooter>
  </headerFooter>
  <drawing r:id="rId1"/>
</worksheet>
</file>

<file path=xl/worksheets/sheet6.xml><?xml version="1.0" encoding="utf-8"?>
<worksheet xmlns="http://schemas.openxmlformats.org/spreadsheetml/2006/main" xmlns:r="http://schemas.openxmlformats.org/officeDocument/2006/relationships">
  <sheetPr codeName="Foglio6"/>
  <dimension ref="D6:E8"/>
  <sheetViews>
    <sheetView showRowColHeaders="0" workbookViewId="0" topLeftCell="A1">
      <selection activeCell="K55" sqref="K55"/>
    </sheetView>
  </sheetViews>
  <sheetFormatPr defaultColWidth="10.75390625" defaultRowHeight="12.75"/>
  <cols>
    <col min="1" max="16384" width="10.75390625" style="52" customWidth="1"/>
  </cols>
  <sheetData>
    <row r="6" spans="4:5" ht="20.25">
      <c r="D6" s="102"/>
      <c r="E6" s="147" t="s">
        <v>199</v>
      </c>
    </row>
    <row r="7" spans="4:5" ht="20.25">
      <c r="D7" s="102"/>
      <c r="E7" s="147" t="s">
        <v>200</v>
      </c>
    </row>
    <row r="8" ht="18">
      <c r="D8" s="102"/>
    </row>
  </sheetData>
  <sheetProtection password="DC65" sheet="1" objects="1" scenarios="1"/>
  <printOptions gridLines="1"/>
  <pageMargins left="0.75" right="0.75" top="1" bottom="1" header="0.5" footer="0.5"/>
  <pageSetup orientation="portrait" paperSize="9"/>
  <headerFooter alignWithMargins="0">
    <oddHeader>&amp;C&amp;A</oddHeader>
    <oddFooter>&amp;CPagina &amp;P</oddFooter>
  </headerFooter>
  <drawing r:id="rId1"/>
</worksheet>
</file>

<file path=xl/worksheets/sheet7.xml><?xml version="1.0" encoding="utf-8"?>
<worksheet xmlns="http://schemas.openxmlformats.org/spreadsheetml/2006/main" xmlns:r="http://schemas.openxmlformats.org/officeDocument/2006/relationships">
  <sheetPr codeName="Foglio7"/>
  <dimension ref="B2:F29"/>
  <sheetViews>
    <sheetView showRowColHeaders="0" zoomScale="75" zoomScaleNormal="75" workbookViewId="0" topLeftCell="A1">
      <selection activeCell="C7" sqref="C7"/>
    </sheetView>
  </sheetViews>
  <sheetFormatPr defaultColWidth="9.00390625" defaultRowHeight="12.75"/>
  <cols>
    <col min="1" max="1" width="2.625" style="52" customWidth="1"/>
    <col min="2" max="2" width="10.875" style="52" customWidth="1"/>
    <col min="3" max="3" width="11.375" style="52" bestFit="1" customWidth="1"/>
    <col min="4" max="4" width="32.125" style="52" customWidth="1"/>
    <col min="5" max="16384" width="10.75390625" style="52" customWidth="1"/>
  </cols>
  <sheetData>
    <row r="2" ht="23.25">
      <c r="B2" s="79" t="s">
        <v>201</v>
      </c>
    </row>
    <row r="4" spans="4:6" ht="12.75">
      <c r="D4" s="64" t="s">
        <v>202</v>
      </c>
      <c r="E4" s="80" t="s">
        <v>221</v>
      </c>
      <c r="F4" s="80"/>
    </row>
    <row r="6" spans="2:3" ht="12.75">
      <c r="B6" s="78" t="s">
        <v>203</v>
      </c>
      <c r="C6" s="78" t="s">
        <v>204</v>
      </c>
    </row>
    <row r="7" spans="2:3" ht="12.75">
      <c r="B7" s="99" t="s">
        <v>205</v>
      </c>
      <c r="C7" s="253">
        <v>979.71</v>
      </c>
    </row>
    <row r="8" spans="2:3" ht="12.75">
      <c r="B8" s="99" t="s">
        <v>206</v>
      </c>
      <c r="C8" s="253">
        <v>1031.12</v>
      </c>
    </row>
    <row r="9" spans="2:3" ht="12.75">
      <c r="B9" s="99" t="s">
        <v>207</v>
      </c>
      <c r="C9" s="253">
        <v>1342.08</v>
      </c>
    </row>
    <row r="10" spans="2:3" ht="12.75">
      <c r="B10" s="99" t="s">
        <v>208</v>
      </c>
      <c r="C10" s="253">
        <v>1086.47</v>
      </c>
    </row>
    <row r="11" spans="2:3" ht="12.75">
      <c r="B11" s="99" t="s">
        <v>209</v>
      </c>
      <c r="C11" s="253">
        <v>1032.15</v>
      </c>
    </row>
    <row r="12" spans="2:3" ht="12.75">
      <c r="B12" s="99" t="s">
        <v>210</v>
      </c>
      <c r="C12" s="253">
        <v>933</v>
      </c>
    </row>
    <row r="13" spans="2:3" ht="12.75">
      <c r="B13" s="99" t="s">
        <v>211</v>
      </c>
      <c r="C13" s="253">
        <v>1095.53</v>
      </c>
    </row>
    <row r="14" spans="2:3" ht="12.75">
      <c r="B14" s="99" t="s">
        <v>212</v>
      </c>
      <c r="C14" s="253">
        <v>965.54</v>
      </c>
    </row>
    <row r="15" spans="2:3" ht="12.75">
      <c r="B15" s="99" t="s">
        <v>213</v>
      </c>
      <c r="C15" s="253">
        <v>1113.99</v>
      </c>
    </row>
    <row r="16" spans="2:3" ht="12.75">
      <c r="B16" s="99" t="s">
        <v>214</v>
      </c>
      <c r="C16" s="253">
        <v>1206.29</v>
      </c>
    </row>
    <row r="17" spans="2:3" ht="12.75">
      <c r="B17" s="99" t="s">
        <v>215</v>
      </c>
      <c r="C17" s="253">
        <v>1326.64</v>
      </c>
    </row>
    <row r="18" spans="2:3" ht="12.75">
      <c r="B18" s="99" t="s">
        <v>220</v>
      </c>
      <c r="C18" s="253">
        <v>1527.05</v>
      </c>
    </row>
    <row r="19" spans="2:3" ht="12.75">
      <c r="B19" s="99"/>
      <c r="C19" s="253"/>
    </row>
    <row r="20" spans="2:3" ht="12.75">
      <c r="B20" s="99"/>
      <c r="C20" s="253"/>
    </row>
    <row r="21" spans="2:3" ht="12.75">
      <c r="B21" s="99"/>
      <c r="C21" s="253"/>
    </row>
    <row r="22" spans="2:3" ht="12.75">
      <c r="B22" s="99"/>
      <c r="C22" s="253"/>
    </row>
    <row r="23" spans="2:3" ht="12.75">
      <c r="B23" s="99"/>
      <c r="C23" s="253"/>
    </row>
    <row r="24" spans="2:3" ht="12.75">
      <c r="B24" s="99"/>
      <c r="C24" s="253"/>
    </row>
    <row r="25" spans="2:3" ht="12.75">
      <c r="B25" s="99"/>
      <c r="C25" s="253"/>
    </row>
    <row r="26" spans="2:3" ht="12.75">
      <c r="B26" s="99"/>
      <c r="C26" s="253"/>
    </row>
    <row r="27" spans="2:3" ht="12.75">
      <c r="B27" s="56"/>
      <c r="C27" s="254"/>
    </row>
    <row r="29" ht="12.75">
      <c r="D29" s="57" t="str">
        <f>Istruzioni!$D$4</f>
        <v>             Realizzazione ed implementazione progetto: Sandro D'Antonio © 1996-2002 UAPI Udine </v>
      </c>
    </row>
  </sheetData>
  <sheetProtection password="DC65" sheet="1" objects="1" scenarios="1"/>
  <printOptions gridLines="1"/>
  <pageMargins left="0.75" right="0.75" top="1" bottom="1" header="0.5" footer="0.5"/>
  <pageSetup orientation="portrait" paperSize="9"/>
  <headerFooter alignWithMargins="0">
    <oddHeader>&amp;C&amp;A</oddHeader>
    <oddFooter>&amp;CPagina &amp;P</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Sandro D'Antonio</dc:creator>
  <cp:keywords/>
  <dc:description/>
  <cp:lastModifiedBy>Sandro D'Antonio</cp:lastModifiedBy>
  <cp:lastPrinted>2006-05-30T20:00:01Z</cp:lastPrinted>
  <dcterms:created xsi:type="dcterms:W3CDTF">2001-01-16T07:46:42Z</dcterms:created>
  <dcterms:modified xsi:type="dcterms:W3CDTF">2006-05-30T20:16:03Z</dcterms:modified>
  <cp:category/>
  <cp:version/>
  <cp:contentType/>
  <cp:contentStatus/>
</cp:coreProperties>
</file>